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autoCompressPictures="0"/>
  <mc:AlternateContent xmlns:mc="http://schemas.openxmlformats.org/markup-compatibility/2006">
    <mc:Choice Requires="x15">
      <x15ac:absPath xmlns:x15ac="http://schemas.microsoft.com/office/spreadsheetml/2010/11/ac" url="\\orion\INGUN Umwelt\Statements Englisch\"/>
    </mc:Choice>
  </mc:AlternateContent>
  <xr:revisionPtr revIDLastSave="0" documentId="13_ncr:1_{3ED0D6C8-E74C-40F9-A6AB-7DB63483ABCB}"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E4" i="8"/>
  <c r="B5" i="5"/>
  <c r="C5" i="5"/>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C4"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H10" i="5"/>
  <c r="H13" i="5"/>
  <c r="R13" i="5"/>
  <c r="I13" i="5"/>
  <c r="F13" i="5"/>
  <c r="H7" i="5"/>
  <c r="R7" i="5"/>
  <c r="F7" i="5"/>
  <c r="I7" i="5"/>
  <c r="H17" i="5"/>
  <c r="I17" i="5"/>
  <c r="J17" i="5"/>
  <c r="R17" i="5"/>
  <c r="F17" i="5"/>
  <c r="G66" i="6"/>
  <c r="H66" i="6"/>
  <c r="C66" i="6"/>
  <c r="G67" i="6"/>
  <c r="H67" i="6"/>
  <c r="D67" i="6"/>
  <c r="G65" i="6"/>
  <c r="H65" i="6"/>
  <c r="C65" i="6"/>
  <c r="I12" i="5"/>
  <c r="R12" i="5"/>
  <c r="F12" i="5"/>
  <c r="H12" i="5"/>
  <c r="H9" i="5"/>
  <c r="I9" i="5"/>
  <c r="R9" i="5"/>
  <c r="F9" i="5"/>
  <c r="R8" i="5"/>
  <c r="H8" i="5"/>
  <c r="I8" i="5"/>
  <c r="F8" i="5"/>
  <c r="H15" i="5"/>
  <c r="J15" i="5"/>
  <c r="I15" i="5"/>
  <c r="F15" i="5"/>
  <c r="R15" i="5"/>
  <c r="H11" i="5"/>
  <c r="R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6" i="5"/>
  <c r="S15" i="5"/>
  <c r="S1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<sst xmlns="http://schemas.openxmlformats.org/spreadsheetml/2006/main" count="22346" uniqueCount="15805">
  <si>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</si>
  <si>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</si>
  <si>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</si>
  <si>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</si>
  <si>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</si>
  <si>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</si>
  <si>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</si>
  <si>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</si>
  <si>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</si>
  <si>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</si>
  <si>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</si>
  <si>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</si>
  <si>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</si>
  <si>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</si>
  <si>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</si>
  <si>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</si>
  <si>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</si>
  <si>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</si>
  <si>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</si>
  <si>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</si>
  <si>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</si>
  <si>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</si>
  <si>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</si>
  <si>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</si>
  <si>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</si>
  <si>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</si>
  <si>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</si>
  <si>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</si>
  <si>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</si>
  <si>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</si>
  <si>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</si>
  <si>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</si>
  <si>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</si>
  <si>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</si>
  <si>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</si>
  <si>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</si>
  <si>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</si>
  <si>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</si>
  <si>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</si>
  <si>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</si>
  <si>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</si>
  <si>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</si>
  <si>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</si>
  <si>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</si>
  <si>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</si>
  <si>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</si>
  <si>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</si>
  <si>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</si>
  <si>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</si>
  <si>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</si>
  <si>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</si>
  <si>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</si>
  <si>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</si>
  <si>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</si>
  <si>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</si>
  <si>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</si>
  <si>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</si>
  <si>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</si>
  <si>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</si>
  <si>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</si>
  <si>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</si>
  <si>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</si>
  <si>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</si>
  <si>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</si>
  <si>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</si>
  <si>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</si>
  <si>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</si>
  <si>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</si>
  <si>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</si>
  <si>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</si>
  <si>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</si>
  <si>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</si>
  <si>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</si>
  <si>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</si>
  <si>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</si>
  <si>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</si>
  <si>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</si>
  <si>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</si>
  <si>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</si>
  <si>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</si>
  <si>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</si>
  <si>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</si>
  <si>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</si>
  <si>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</si>
  <si>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</si>
  <si>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</si>
  <si>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</si>
  <si>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</si>
  <si>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</si>
  <si>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</si>
  <si>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</si>
  <si>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</si>
  <si>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</si>
  <si>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</si>
  <si>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</si>
  <si>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</si>
  <si>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</si>
  <si>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</si>
  <si>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</si>
  <si>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</si>
  <si>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</si>
  <si>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</si>
  <si>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</si>
  <si>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</si>
  <si>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</si>
  <si>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</si>
  <si>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</si>
  <si>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</si>
  <si>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</si>
  <si>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</si>
  <si>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</si>
  <si>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</si>
  <si>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</si>
  <si>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</si>
  <si>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</si>
  <si>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</si>
  <si>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</si>
  <si>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</si>
  <si>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</si>
  <si>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</si>
  <si>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</si>
  <si>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</si>
  <si>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</si>
  <si>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</si>
  <si>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</si>
  <si>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</si>
  <si>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</si>
  <si>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</si>
  <si>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</si>
  <si>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</si>
  <si>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</si>
  <si>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</si>
  <si>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</si>
  <si>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</si>
  <si>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</si>
  <si>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</si>
  <si>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</si>
  <si>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</si>
  <si>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</si>
  <si>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</si>
  <si>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</si>
  <si>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</si>
  <si>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</si>
  <si>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</si>
  <si>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</si>
  <si>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</si>
  <si>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</si>
  <si>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</si>
  <si>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</si>
  <si>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</si>
  <si>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</si>
  <si>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</si>
  <si>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</si>
  <si>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</si>
  <si>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</si>
  <si>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</si>
  <si>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</si>
  <si>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</si>
  <si>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</si>
  <si>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</si>
  <si>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</si>
  <si>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</si>
  <si>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</si>
  <si>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</si>
  <si>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</si>
  <si>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</si>
  <si>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</si>
  <si>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</si>
  <si>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</si>
  <si>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</si>
  <si>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</si>
  <si>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</si>
  <si>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</si>
  <si>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</si>
  <si>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</si>
  <si>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</si>
  <si>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</si>
  <si>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</si>
  <si>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</si>
  <si>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</si>
  <si>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</si>
  <si>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</si>
  <si>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</si>
  <si>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</si>
  <si>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</si>
  <si>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</si>
  <si>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</si>
  <si>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</si>
  <si>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</si>
  <si>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</si>
  <si>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</si>
  <si>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</si>
  <si>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</si>
  <si>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</si>
  <si>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</si>
  <si>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</si>
  <si>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</si>
  <si>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</si>
  <si>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</si>
  <si>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</si>
  <si>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</si>
  <si>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</si>
  <si>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</si>
  <si>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</si>
  <si>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</si>
  <si>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</si>
  <si>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</si>
  <si>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</si>
  <si>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</si>
  <si>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</si>
  <si>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</si>
  <si>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</si>
  <si>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</si>
  <si>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</si>
  <si>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</si>
  <si>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</si>
  <si>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</si>
  <si>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</si>
  <si>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</si>
  <si>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</si>
  <si>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</si>
  <si>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</si>
  <si>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</si>
  <si>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</si>
  <si>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</si>
  <si>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</si>
  <si>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</si>
  <si>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</si>
  <si>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</si>
  <si>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</si>
  <si>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</si>
  <si>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</si>
  <si>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</si>
  <si>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</si>
  <si>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</si>
  <si>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</si>
  <si>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</si>
  <si>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</si>
  <si>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</si>
  <si>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</si>
  <si>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</si>
  <si>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</si>
  <si>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</si>
  <si>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</si>
  <si>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</si>
  <si>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</si>
  <si>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</si>
  <si>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</si>
  <si>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</si>
  <si>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</si>
  <si>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</si>
  <si>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</si>
  <si>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</si>
  <si>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</si>
  <si>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</si>
  <si>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</si>
  <si>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</si>
  <si>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</si>
  <si>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</si>
  <si>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</si>
  <si>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</si>
  <si>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</si>
  <si>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</si>
  <si>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</si>
  <si>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</si>
  <si>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</si>
  <si>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</si>
  <si>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</si>
  <si>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</si>
  <si>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</si>
  <si>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</si>
  <si>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</si>
  <si>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</si>
  <si>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</si>
  <si>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</si>
  <si>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</si>
  <si>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</si>
  <si>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</si>
  <si>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</si>
  <si>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</si>
  <si>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</si>
  <si>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</si>
  <si>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</si>
  <si>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</si>
  <si>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</si>
  <si>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</si>
  <si>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</si>
  <si>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</si>
  <si>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</si>
  <si>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</si>
  <si>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</si>
  <si>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</si>
  <si>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</si>
  <si>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</si>
  <si>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</si>
  <si>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</si>
  <si>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</si>
  <si>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</si>
  <si>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</si>
  <si>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</si>
  <si>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</si>
  <si>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</si>
  <si>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</si>
  <si>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</si>
  <si>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</si>
  <si>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</si>
  <si>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</si>
  <si>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</si>
  <si>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</si>
  <si>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</si>
  <si>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</si>
  <si>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</si>
  <si>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</si>
  <si>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</si>
  <si>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</si>
  <si>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</si>
  <si>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</si>
  <si>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</si>
  <si>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</si>
  <si>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</si>
  <si>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</si>
  <si>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</si>
  <si>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</si>
  <si>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</si>
  <si>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</si>
  <si>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</si>
  <si>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</si>
  <si>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</si>
  <si>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</si>
  <si>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</si>
  <si>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</si>
  <si>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</si>
  <si>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</si>
  <si>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</si>
  <si>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</si>
  <si>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</si>
  <si>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</si>
  <si>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</si>
  <si>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</si>
  <si>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</si>
  <si>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</si>
  <si>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</si>
  <si>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</si>
  <si>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</si>
  <si>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</si>
  <si>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</si>
  <si>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</si>
  <si>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</si>
  <si>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</si>
  <si>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</si>
  <si>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</si>
  <si>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</si>
  <si>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</si>
  <si>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</si>
  <si>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</si>
  <si>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</si>
  <si>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</si>
  <si>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</si>
  <si>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</si>
  <si>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</si>
  <si>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</si>
  <si>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</si>
  <si>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</si>
  <si>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</si>
  <si>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</si>
  <si>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</si>
  <si>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</si>
  <si>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</si>
  <si>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</si>
  <si>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</si>
  <si>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</si>
  <si>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</si>
  <si>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</si>
  <si>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</si>
  <si>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</si>
  <si>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</si>
  <si>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</si>
  <si>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</si>
  <si>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</si>
  <si>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</si>
  <si>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</si>
  <si>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</si>
  <si>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</si>
  <si>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</si>
  <si>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</si>
  <si>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</si>
  <si>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</si>
  <si>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</si>
  <si>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</si>
  <si>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</si>
  <si>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</si>
  <si>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</si>
  <si>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</si>
  <si>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</si>
  <si>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</si>
  <si>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</si>
  <si>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</si>
  <si>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</si>
  <si>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</si>
  <si>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</si>
  <si>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</si>
  <si>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</si>
  <si>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</si>
  <si>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</si>
  <si>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</si>
  <si>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</si>
  <si>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</si>
  <si>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</si>
  <si>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</si>
  <si>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</si>
  <si>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</si>
  <si>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</si>
  <si>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</si>
  <si>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</si>
  <si>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</si>
  <si>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</si>
  <si>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</si>
  <si>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</si>
  <si>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</si>
  <si>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</si>
  <si>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</si>
  <si>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</si>
  <si>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</si>
  <si>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</si>
  <si>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</si>
  <si>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</si>
  <si>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</si>
  <si>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</si>
  <si>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</si>
  <si>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</si>
  <si>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</si>
  <si>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</si>
  <si>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</si>
  <si>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</si>
  <si>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</si>
  <si>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</si>
  <si>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</si>
  <si>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</si>
  <si>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</si>
  <si>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</si>
  <si>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</si>
  <si>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</si>
  <si>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</si>
  <si>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</si>
  <si>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</si>
  <si>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</si>
  <si>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</si>
  <si>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</si>
  <si>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</si>
  <si>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</si>
  <si>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</si>
  <si>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</si>
  <si>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</si>
  <si>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</si>
  <si>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</si>
  <si>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</si>
  <si>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</si>
  <si>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</si>
  <si>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</si>
  <si>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</si>
  <si>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</si>
  <si>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</si>
  <si>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</si>
  <si>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</si>
  <si>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</si>
  <si>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</si>
  <si>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</si>
  <si>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</si>
  <si>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</si>
  <si>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</si>
  <si>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</si>
  <si>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</si>
  <si>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</si>
  <si>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</si>
  <si>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</si>
  <si>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</si>
  <si>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</si>
  <si>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</si>
  <si>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</si>
  <si>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</si>
  <si>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</si>
  <si>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</si>
  <si>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</si>
  <si>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</si>
  <si>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</si>
  <si>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</si>
  <si>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</si>
  <si>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</si>
  <si>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</si>
  <si>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</si>
  <si>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</si>
  <si>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</si>
  <si>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</si>
  <si>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</si>
  <si>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</si>
  <si>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</si>
  <si>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</si>
  <si>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</si>
  <si>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</si>
  <si>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</si>
  <si>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</si>
  <si>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</si>
  <si>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</si>
  <si>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</si>
  <si>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</si>
  <si>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</si>
  <si>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</si>
  <si>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</si>
  <si>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</si>
  <si>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</si>
  <si>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</si>
  <si>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</si>
  <si>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</si>
  <si>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</si>
  <si>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</si>
  <si>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</si>
  <si>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</si>
  <si>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</si>
  <si>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</si>
  <si>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</si>
  <si>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</si>
  <si>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</si>
  <si>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</si>
  <si>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</si>
  <si>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</si>
  <si>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</si>
  <si>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</si>
  <si>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</si>
  <si>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</si>
  <si>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</si>
  <si>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</si>
  <si>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</si>
  <si>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</si>
  <si>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</si>
  <si>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</si>
  <si>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</si>
  <si>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</si>
  <si>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</si>
  <si>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</si>
  <si>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</si>
  <si>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</si>
  <si>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</si>
  <si>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</si>
  <si>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</si>
  <si>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</si>
  <si>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</si>
  <si>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</si>
  <si>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</si>
  <si>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</si>
  <si>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</si>
  <si>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</si>
  <si>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</si>
  <si>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</si>
  <si>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</si>
  <si>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</si>
  <si>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</si>
  <si>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</si>
  <si>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</si>
  <si>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</si>
  <si>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</si>
  <si>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</si>
  <si>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</si>
  <si>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</si>
  <si>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</si>
  <si>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</si>
  <si>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</si>
  <si>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</si>
  <si>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</si>
  <si>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</si>
  <si>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</si>
  <si>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</si>
  <si>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</si>
  <si>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</si>
  <si>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</si>
  <si>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</si>
  <si>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</si>
  <si>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</si>
  <si>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</si>
  <si>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</si>
  <si>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</si>
  <si>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</si>
  <si>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</si>
  <si>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</si>
  <si>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</si>
  <si>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</si>
  <si>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</si>
  <si>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</si>
  <si>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</si>
  <si>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</si>
  <si>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</si>
  <si>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</si>
  <si>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</si>
  <si>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</si>
  <si>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</si>
  <si>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</si>
  <si>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</si>
  <si>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</si>
  <si>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</si>
  <si>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</si>
  <si>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</si>
  <si>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</si>
  <si>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</si>
  <si>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</si>
  <si>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</si>
  <si>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</si>
  <si>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</si>
  <si>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</si>
  <si>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</si>
  <si>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</si>
  <si>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</si>
  <si>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</si>
  <si>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</si>
  <si>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</si>
  <si>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</si>
  <si>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</si>
  <si>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</si>
  <si>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</si>
  <si>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</si>
  <si>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</si>
  <si>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</si>
  <si>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</si>
  <si>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</si>
  <si>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</si>
  <si>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</si>
  <si>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</si>
  <si>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</si>
  <si>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</si>
  <si>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</si>
  <si>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</si>
  <si>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</si>
  <si>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</si>
  <si>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</si>
  <si>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</si>
  <si>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</si>
  <si>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</si>
  <si>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</si>
  <si>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</si>
  <si>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</si>
  <si>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</si>
  <si>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</si>
  <si>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</si>
  <si>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</si>
  <si>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</si>
  <si>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</si>
  <si>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</si>
  <si>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</si>
  <si>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</si>
  <si>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</si>
  <si>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</si>
  <si>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</si>
  <si>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</si>
  <si>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</si>
  <si>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</si>
  <si>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</si>
  <si>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</si>
  <si>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</si>
  <si>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</si>
  <si>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</si>
  <si>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</si>
  <si>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</si>
  <si>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</si>
  <si>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</si>
  <si>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</si>
  <si>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</si>
  <si>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</si>
  <si>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</si>
  <si>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</si>
  <si>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</si>
  <si>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</si>
  <si>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</si>
  <si>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</si>
  <si>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</si>
  <si>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</si>
  <si>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</si>
  <si>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</si>
  <si>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</si>
  <si>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</si>
  <si>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</si>
  <si>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</si>
  <si>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</si>
  <si>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</si>
  <si>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</si>
  <si>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</si>
  <si>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</si>
  <si>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</si>
  <si>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</si>
  <si>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</si>
  <si>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</si>
  <si>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</si>
  <si>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</si>
  <si>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</si>
  <si>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</si>
  <si>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</si>
  <si>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</si>
  <si>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</si>
  <si>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</si>
  <si>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</si>
  <si>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</si>
  <si>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</si>
  <si>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</si>
  <si>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</si>
  <si>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</si>
  <si>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</si>
  <si>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</si>
  <si>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</si>
  <si>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</si>
  <si>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</si>
  <si>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</si>
  <si>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</si>
  <si>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</si>
  <si>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</si>
  <si>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</si>
  <si>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</si>
  <si>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</si>
  <si>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</si>
  <si>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</si>
  <si>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</si>
  <si>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</si>
  <si>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</si>
  <si>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</si>
  <si>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</si>
  <si>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</si>
  <si>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</si>
  <si>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</si>
  <si>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</si>
  <si>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</si>
  <si>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</si>
  <si>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</si>
  <si>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</si>
  <si>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</si>
  <si>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</si>
  <si>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</si>
  <si>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</si>
  <si>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</si>
  <si>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</si>
  <si>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</si>
  <si>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</si>
  <si>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</si>
  <si>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</si>
  <si>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</si>
  <si>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</si>
  <si>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</si>
  <si>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</si>
  <si>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</si>
  <si>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</si>
  <si>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</si>
  <si>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</si>
  <si>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</si>
  <si>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</si>
  <si>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</si>
  <si>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</si>
  <si>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</si>
  <si>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</si>
  <si>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</si>
  <si>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</si>
  <si>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</si>
  <si>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</si>
  <si>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</si>
  <si>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</si>
  <si>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</si>
  <si>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</si>
  <si>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</si>
  <si>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</si>
  <si>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</si>
  <si>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</si>
  <si>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</si>
  <si>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</si>
  <si>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</si>
  <si>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</si>
  <si>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</si>
  <si>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</si>
  <si>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</si>
  <si>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</si>
  <si>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</si>
  <si>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</si>
  <si>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</si>
  <si>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</si>
  <si>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</si>
  <si>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</si>
  <si>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</si>
  <si>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</si>
  <si>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</si>
  <si>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</si>
  <si>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</si>
  <si>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</si>
  <si>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</si>
  <si>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</si>
  <si>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</si>
  <si>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</si>
  <si>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</si>
  <si>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</si>
  <si>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</si>
  <si>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</si>
  <si>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</si>
  <si>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</si>
  <si>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</si>
  <si>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</si>
  <si>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</si>
  <si>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</si>
  <si>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</si>
  <si>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</si>
  <si>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</si>
  <si>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</si>
  <si>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</si>
  <si>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</si>
  <si>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</si>
  <si>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</si>
  <si>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</si>
  <si>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</si>
  <si>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</si>
  <si>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</si>
  <si>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</si>
  <si>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</si>
  <si>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</si>
  <si>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</si>
  <si>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</si>
  <si>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</si>
  <si>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</si>
  <si>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</si>
  <si>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</si>
  <si>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</si>
  <si>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</si>
  <si>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</si>
  <si>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</si>
  <si>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</si>
  <si>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</si>
  <si>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</si>
  <si>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</si>
  <si>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</si>
  <si>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</si>
  <si>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</si>
  <si>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</si>
  <si>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</si>
  <si>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</si>
  <si>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</si>
  <si>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</si>
  <si>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</si>
  <si>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</si>
  <si>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</si>
  <si>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</si>
  <si>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</si>
  <si>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</si>
  <si>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</si>
  <si>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</si>
  <si>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</si>
  <si>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</si>
  <si>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</si>
  <si>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</si>
  <si>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</si>
  <si>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</si>
  <si>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</si>
  <si>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</si>
  <si>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</si>
  <si>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</si>
  <si>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</si>
  <si>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</si>
  <si>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</si>
  <si>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</si>
  <si>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</si>
  <si>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</si>
  <si>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</si>
  <si>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</si>
  <si>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</si>
  <si>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</si>
  <si>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</si>
  <si>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</si>
  <si>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</si>
  <si>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</si>
  <si>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</si>
  <si>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</si>
  <si>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</si>
  <si>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</si>
  <si>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</si>
  <si>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</si>
  <si>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</si>
  <si>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</si>
  <si>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</si>
  <si>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</si>
  <si>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</si>
  <si>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</si>
  <si>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</si>
  <si>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</si>
  <si>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</si>
  <si>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</si>
  <si>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</si>
  <si>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</si>
  <si>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</si>
  <si>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</si>
  <si>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</si>
  <si>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</si>
  <si>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</si>
  <si>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</si>
  <si>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</si>
  <si>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</si>
  <si>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</si>
  <si>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</si>
  <si>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</si>
  <si>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</si>
  <si>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</si>
  <si>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</si>
  <si>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</si>
  <si>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</si>
  <si>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</si>
  <si>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</si>
  <si>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</si>
  <si>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</si>
  <si>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</si>
  <si>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</si>
  <si>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</si>
  <si>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</si>
  <si>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</si>
  <si>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</si>
  <si>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</si>
  <si>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</si>
  <si>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</si>
  <si>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</si>
  <si>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</si>
  <si>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</si>
  <si>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</si>
  <si>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</si>
  <si>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</si>
  <si>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</si>
  <si>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</si>
  <si>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</si>
  <si>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</si>
  <si>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</si>
  <si>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</si>
  <si>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</si>
  <si>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</si>
  <si>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</si>
  <si>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</si>
  <si>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</si>
  <si>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</si>
  <si>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</si>
  <si>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</si>
  <si>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</si>
  <si>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</si>
  <si>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</si>
  <si>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</si>
  <si>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</si>
  <si>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</si>
  <si>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</si>
  <si>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</si>
  <si>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</si>
  <si>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</si>
  <si>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</si>
  <si>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</si>
  <si>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</si>
  <si>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</si>
  <si>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</si>
  <si>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</si>
  <si>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</si>
  <si>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</si>
  <si>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</si>
  <si>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</si>
  <si>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</si>
  <si>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</si>
  <si>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</si>
  <si>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</si>
  <si>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</si>
  <si>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</si>
  <si>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</si>
  <si>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</si>
  <si>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</si>
  <si>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</si>
  <si>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</si>
  <si>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</si>
  <si>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</si>
  <si>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</si>
  <si>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</si>
  <si>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</si>
  <si>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</si>
  <si>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</si>
  <si>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</si>
  <si>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</si>
  <si>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</si>
  <si>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</si>
  <si>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</si>
  <si>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</si>
  <si>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</si>
  <si>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</si>
  <si>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</si>
  <si>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</si>
  <si>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</si>
  <si>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</si>
  <si>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</si>
  <si>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</si>
  <si>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</si>
  <si>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</si>
  <si>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</si>
  <si>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</si>
  <si>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</si>
  <si>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</si>
  <si>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</si>
  <si>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</si>
  <si>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</si>
  <si>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</si>
  <si>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</si>
  <si>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</si>
  <si>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</si>
  <si>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</si>
  <si>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</si>
  <si>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</si>
  <si>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</si>
  <si>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</si>
  <si>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</si>
  <si>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</si>
  <si>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</si>
  <si>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</si>
  <si>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</si>
  <si>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</si>
  <si>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</si>
  <si>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</si>
  <si>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</si>
  <si>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</si>
  <si>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</si>
  <si>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</si>
  <si>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</si>
  <si>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</si>
  <si>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</si>
  <si>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</si>
  <si>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</si>
  <si>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</si>
  <si>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</si>
  <si>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</si>
  <si>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</si>
  <si>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</si>
  <si>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</si>
  <si>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</si>
  <si>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</si>
  <si>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</si>
  <si>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</si>
  <si>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</si>
  <si>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</si>
  <si>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</si>
  <si>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</si>
  <si>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</si>
  <si>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</si>
  <si>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</si>
  <si>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</si>
  <si>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</si>
  <si>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</si>
  <si>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</si>
  <si>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</si>
  <si>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</si>
  <si>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</si>
  <si>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</si>
  <si>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</si>
  <si>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</si>
  <si>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</si>
  <si>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</si>
  <si>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</si>
  <si>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</si>
  <si>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</si>
  <si>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</si>
  <si>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</si>
  <si>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</si>
  <si>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</si>
  <si>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</si>
  <si>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</si>
  <si>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</si>
  <si>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</si>
  <si>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</si>
  <si>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</si>
  <si>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</si>
  <si>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</si>
  <si>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</si>
  <si>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</si>
  <si>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</si>
  <si>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</si>
  <si>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</si>
  <si>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</si>
  <si>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</si>
  <si>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</si>
  <si>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</si>
  <si>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</si>
  <si>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</si>
  <si>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</si>
  <si>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</si>
  <si>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</si>
  <si>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</si>
  <si>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</si>
  <si>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</si>
  <si>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</si>
  <si>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</si>
  <si>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</si>
  <si>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</si>
  <si>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</si>
  <si>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</si>
  <si>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</si>
  <si>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</si>
  <si>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</si>
  <si>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</si>
  <si>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</si>
  <si>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</si>
  <si>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</si>
  <si>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</si>
  <si>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</si>
  <si>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</si>
  <si>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</si>
  <si>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</si>
  <si>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</si>
  <si>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</si>
  <si>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</si>
  <si>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</si>
  <si>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</si>
  <si>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</si>
  <si>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</si>
  <si>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</si>
  <si>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</si>
  <si>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</si>
  <si>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</si>
  <si>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</si>
  <si>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</si>
  <si>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</si>
  <si>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</si>
  <si>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</si>
  <si>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</si>
  <si>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</si>
  <si>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</si>
  <si>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</si>
  <si>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</si>
  <si>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</si>
  <si>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</si>
  <si>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</si>
  <si>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</si>
  <si>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</si>
  <si>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</si>
  <si>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</si>
  <si>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</si>
  <si>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</si>
  <si>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</si>
  <si>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</si>
  <si>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</si>
  <si>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</si>
  <si>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</si>
  <si>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</si>
  <si>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</si>
  <si>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</si>
  <si>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</si>
  <si>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</si>
  <si>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</si>
  <si>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</si>
  <si>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</si>
  <si>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</si>
  <si>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</si>
  <si>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</si>
  <si>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</si>
  <si>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</si>
  <si>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</si>
  <si>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</si>
  <si>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</si>
  <si>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</si>
  <si>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</si>
  <si>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</si>
  <si>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</si>
  <si>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</si>
  <si>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</si>
  <si>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</si>
  <si>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</si>
  <si>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</si>
  <si>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</si>
  <si>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</si>
  <si>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</si>
  <si>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</si>
  <si>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</si>
  <si>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</si>
  <si>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</si>
  <si>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</si>
  <si>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</si>
  <si>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</si>
  <si>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</si>
  <si>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</si>
  <si>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</si>
  <si>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</si>
  <si>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</si>
  <si>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</si>
  <si>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</si>
  <si>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</si>
  <si>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</si>
  <si>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</si>
  <si>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</si>
  <si>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</si>
  <si>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</si>
  <si>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</si>
  <si>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</si>
  <si>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</si>
  <si>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</si>
  <si>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</si>
  <si>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</si>
  <si>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</si>
  <si>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</si>
  <si>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</si>
  <si>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</si>
  <si>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</si>
  <si>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</si>
  <si>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</si>
  <si>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</si>
  <si>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</si>
  <si>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</si>
  <si>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</si>
  <si>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</si>
  <si>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</si>
  <si>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</si>
  <si>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</si>
  <si>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</si>
  <si>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</si>
  <si>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</si>
  <si>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</si>
  <si>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</si>
  <si>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</si>
  <si>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</si>
  <si>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</si>
  <si>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</si>
  <si>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</si>
  <si>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</si>
  <si>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</si>
  <si>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</si>
  <si>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</si>
  <si>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</si>
  <si>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</si>
  <si>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</si>
  <si>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</si>
  <si>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</si>
  <si>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</si>
  <si>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</si>
  <si>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</si>
  <si>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</si>
  <si>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</si>
  <si>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</si>
  <si>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</si>
  <si>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</si>
  <si>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</si>
  <si>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</si>
  <si>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</si>
  <si>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</si>
  <si>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</si>
  <si>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</si>
  <si>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</si>
  <si>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</si>
  <si>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</si>
  <si>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</si>
  <si>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</si>
  <si>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</si>
  <si>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</si>
  <si>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</si>
  <si>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</si>
  <si>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</si>
  <si>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</si>
  <si>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</si>
  <si>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</si>
  <si>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</si>
  <si>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</si>
  <si>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</si>
  <si>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</si>
  <si>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</si>
  <si>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</si>
  <si>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</si>
  <si>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</si>
  <si>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</si>
  <si>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</si>
  <si>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</si>
  <si>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</si>
  <si>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</si>
  <si>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</si>
  <si>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</si>
  <si>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</si>
  <si>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</si>
  <si>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</si>
  <si>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</si>
  <si>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</si>
  <si>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</si>
  <si>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</si>
  <si>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</si>
  <si>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</si>
  <si>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</si>
  <si>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</si>
  <si>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</si>
  <si>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</si>
  <si>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</si>
  <si>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</si>
  <si>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</si>
  <si>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</si>
  <si>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</si>
  <si>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</si>
  <si>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</si>
  <si>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</si>
  <si>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</si>
  <si>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</si>
  <si>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</si>
  <si>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</si>
  <si>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</si>
  <si>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</si>
  <si>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</si>
  <si>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</si>
  <si>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</si>
  <si>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</si>
  <si>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</si>
  <si>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</si>
  <si>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</si>
  <si>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</si>
  <si>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</si>
  <si>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</si>
  <si>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</si>
  <si>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</si>
  <si>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</si>
  <si>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</si>
  <si>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</si>
  <si>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</si>
  <si>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</si>
  <si>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</si>
  <si>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</si>
  <si>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</si>
  <si>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</si>
  <si>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</si>
  <si>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</si>
  <si>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</si>
  <si>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</si>
  <si>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</si>
  <si>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</si>
  <si>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</si>
  <si>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</si>
  <si>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</si>
  <si>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</si>
  <si>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</si>
  <si>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</si>
  <si>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</si>
  <si>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</si>
  <si>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</si>
  <si>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</si>
  <si>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</si>
  <si>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</si>
  <si>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</si>
  <si>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</si>
  <si>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</si>
  <si>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</si>
  <si>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</si>
  <si>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</si>
  <si>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</si>
  <si>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</si>
  <si>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</si>
  <si>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</si>
  <si>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</si>
  <si>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</si>
  <si>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</si>
  <si>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</si>
  <si>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</si>
  <si>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</si>
  <si>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</si>
  <si>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</si>
  <si>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</si>
  <si>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</si>
  <si>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</si>
  <si>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</si>
  <si>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</si>
  <si>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</si>
  <si>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</si>
  <si>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</si>
  <si>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</si>
  <si>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</si>
  <si>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</si>
  <si>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</si>
  <si>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</si>
  <si>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</si>
  <si>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</si>
  <si>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</si>
  <si>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</si>
  <si>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</si>
  <si>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</si>
  <si>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</si>
  <si>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</si>
  <si>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</si>
  <si>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</si>
  <si>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</si>
  <si>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</si>
  <si>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</si>
  <si>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</si>
  <si>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</si>
  <si>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</si>
  <si>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</si>
  <si>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</si>
  <si>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</si>
  <si>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</si>
  <si>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</si>
  <si>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</si>
  <si>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</si>
  <si>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</si>
  <si>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</si>
  <si>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</si>
  <si>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</si>
  <si>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</si>
  <si>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</si>
  <si>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</si>
  <si>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</si>
  <si>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</si>
  <si>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</si>
  <si>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</si>
  <si>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</si>
  <si>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</si>
  <si>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</si>
  <si>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</si>
  <si>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</si>
  <si>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</si>
  <si>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</si>
  <si>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</si>
  <si>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</si>
  <si>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</si>
  <si>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</si>
  <si>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</si>
  <si>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</si>
  <si>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</si>
  <si>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</si>
  <si>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</si>
  <si>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</si>
  <si>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</si>
  <si>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</si>
  <si>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</si>
  <si>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</si>
  <si>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</si>
  <si>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</si>
  <si>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</si>
  <si>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</si>
  <si>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</si>
  <si>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</si>
  <si>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</si>
  <si>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</si>
  <si>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</si>
  <si>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</si>
  <si>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</si>
  <si>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</si>
  <si>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</si>
  <si>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</si>
  <si>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</si>
  <si>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</si>
  <si>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</si>
  <si>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</si>
  <si>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</si>
  <si>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</si>
  <si>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</si>
  <si>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</si>
  <si>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</si>
  <si>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</si>
  <si>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</si>
  <si>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</si>
  <si>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</si>
  <si>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</si>
  <si>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</si>
  <si>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</si>
  <si>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</si>
  <si>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</si>
  <si>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</si>
  <si>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</si>
  <si>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</si>
  <si>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</si>
  <si>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</si>
  <si>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</si>
  <si>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</si>
  <si>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</si>
  <si>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</si>
  <si>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</si>
  <si>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</si>
  <si>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</si>
  <si>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</si>
  <si>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</si>
  <si>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</si>
  <si>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</si>
  <si>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</si>
  <si>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</si>
  <si>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</si>
  <si>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</si>
  <si>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</si>
  <si>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</si>
  <si>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</si>
  <si>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</si>
  <si>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</si>
  <si>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</si>
  <si>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</si>
  <si>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</si>
  <si>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</si>
  <si>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</si>
  <si>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</si>
  <si>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</si>
  <si>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</si>
  <si>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</si>
  <si>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</si>
  <si>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</si>
  <si>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</si>
  <si>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</si>
  <si>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</si>
  <si>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</si>
  <si>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</si>
  <si>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</si>
  <si>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</si>
  <si>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</si>
  <si>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</si>
  <si>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</si>
  <si>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</si>
  <si>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</si>
  <si>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</si>
  <si>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</si>
  <si>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</si>
  <si>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</si>
  <si>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</si>
  <si>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</si>
  <si>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</si>
  <si>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</si>
  <si>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</si>
  <si>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</si>
  <si>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</si>
  <si>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</si>
  <si>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</si>
  <si>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</si>
  <si>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</si>
  <si>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</si>
  <si>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</si>
  <si>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</si>
  <si>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</si>
  <si>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</si>
  <si>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</si>
  <si>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</si>
  <si>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</si>
  <si>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</si>
  <si>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</si>
  <si>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</si>
  <si>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</si>
  <si>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</si>
  <si>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</si>
  <si>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</si>
  <si>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</si>
  <si>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</si>
  <si>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</si>
  <si>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</si>
  <si>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</si>
  <si>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</si>
  <si>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</si>
  <si>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</si>
  <si>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</si>
  <si>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</si>
  <si>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</si>
  <si>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</si>
  <si>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</si>
  <si>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</si>
  <si>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</si>
  <si>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</si>
  <si>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</si>
  <si>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</si>
  <si>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</si>
  <si>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</si>
  <si>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</si>
  <si>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</si>
  <si>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</si>
  <si>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</si>
  <si>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</si>
  <si>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</si>
  <si>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</si>
  <si>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</si>
  <si>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</si>
  <si>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</si>
  <si>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</si>
  <si>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</si>
  <si>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</si>
  <si>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</si>
  <si>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</si>
  <si>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</si>
  <si>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</si>
  <si>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</si>
  <si>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</si>
  <si>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</si>
  <si>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</si>
  <si>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</si>
  <si>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</si>
  <si>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</si>
  <si>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</si>
  <si>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</si>
  <si>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</si>
  <si>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</si>
  <si>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</si>
  <si>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</si>
  <si>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</si>
  <si>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</si>
  <si>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</si>
  <si>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</si>
  <si>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</si>
  <si>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</si>
  <si>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</si>
  <si>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</si>
  <si>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</si>
  <si>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</si>
  <si>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</si>
  <si>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</si>
  <si>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</si>
  <si>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</si>
  <si>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</si>
  <si>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</si>
  <si>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</si>
  <si>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</si>
  <si>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</si>
  <si>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</si>
  <si>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</si>
  <si>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</si>
  <si>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</si>
  <si>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</si>
  <si>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</si>
  <si>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</si>
  <si>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</si>
  <si>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</si>
  <si>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</si>
  <si>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</si>
  <si>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</si>
  <si>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</si>
  <si>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</si>
  <si>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</si>
  <si>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</si>
  <si>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</si>
  <si>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</si>
  <si>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</si>
  <si>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</si>
  <si>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</si>
  <si>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</si>
  <si>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</si>
  <si>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</si>
  <si>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</si>
  <si>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</si>
  <si>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</si>
  <si>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</si>
  <si>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</si>
  <si>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</si>
  <si>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</si>
  <si>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</si>
  <si>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</si>
  <si>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</si>
  <si>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</si>
  <si>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</si>
  <si>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</si>
  <si>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</si>
  <si>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</si>
  <si>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</si>
  <si>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</si>
  <si>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</si>
  <si>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</si>
  <si>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</si>
  <si>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</si>
  <si>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</si>
  <si>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</si>
  <si>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</si>
  <si>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</si>
  <si>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</si>
  <si>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</si>
  <si>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</si>
  <si>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</si>
  <si>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</si>
  <si>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</si>
  <si>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</si>
  <si>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</si>
  <si>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</si>
  <si>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</si>
  <si>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</si>
  <si>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</si>
  <si>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</si>
  <si>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</si>
  <si>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</si>
  <si>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</si>
  <si>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</si>
  <si>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</si>
  <si>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</si>
  <si>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</si>
  <si>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</si>
  <si>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</si>
  <si>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</si>
  <si>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</si>
  <si>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</si>
  <si>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</si>
  <si>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</si>
  <si>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</si>
  <si>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</si>
  <si>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</si>
  <si>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</si>
  <si>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</si>
  <si>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</si>
  <si>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</si>
  <si>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</si>
  <si>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</si>
  <si>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</si>
  <si>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</si>
  <si>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</si>
  <si>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</si>
  <si>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</si>
  <si>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</si>
  <si>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</si>
  <si>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</si>
  <si>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</si>
  <si>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</si>
  <si>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</si>
  <si>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</si>
  <si>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</si>
  <si>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</si>
  <si>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</si>
  <si>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</si>
  <si>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</si>
  <si>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</si>
  <si>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</si>
  <si>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</si>
  <si>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</si>
  <si>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</si>
  <si>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</si>
  <si>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</si>
  <si>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</si>
  <si>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</si>
  <si>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</si>
  <si>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</si>
  <si>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</si>
  <si>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</si>
  <si>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</si>
  <si>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</si>
  <si>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</si>
  <si>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</si>
  <si>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</si>
  <si>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</si>
  <si>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</si>
  <si>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</si>
  <si>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</si>
  <si>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</si>
  <si>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</si>
  <si>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</si>
  <si>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</si>
  <si>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</si>
  <si>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</si>
  <si>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</si>
  <si>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</si>
  <si>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</si>
  <si>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</si>
  <si>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</si>
  <si>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</si>
  <si>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</si>
  <si>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</si>
  <si>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</si>
  <si>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</si>
  <si>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</si>
  <si>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</si>
  <si>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</si>
  <si>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</si>
  <si>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</si>
  <si>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</si>
  <si>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</si>
  <si>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</si>
  <si>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</si>
  <si>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</si>
  <si>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</si>
  <si>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</si>
  <si>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</si>
  <si>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</si>
  <si>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</si>
  <si>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</si>
  <si>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</si>
  <si>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</si>
  <si>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</si>
  <si>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</si>
  <si>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</si>
  <si>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</si>
  <si>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</si>
  <si>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</si>
  <si>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</si>
  <si>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</si>
  <si>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</si>
  <si>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</si>
  <si>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</si>
  <si>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</si>
  <si>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</si>
  <si>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</si>
  <si>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</si>
  <si>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</si>
  <si>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</si>
  <si>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</si>
  <si>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</si>
  <si>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</si>
  <si>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</si>
  <si>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</si>
  <si>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</si>
  <si>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</si>
  <si>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</si>
  <si>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</si>
  <si>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</si>
  <si>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</si>
  <si>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</si>
  <si>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</si>
  <si>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</si>
  <si>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</si>
  <si>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</si>
  <si>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</si>
  <si>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</si>
  <si>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</si>
  <si>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</si>
  <si>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</si>
  <si>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</si>
  <si>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</si>
  <si>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</si>
  <si>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</si>
  <si>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</si>
  <si>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</si>
  <si>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</si>
  <si>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</si>
  <si>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</si>
  <si>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</si>
  <si>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</si>
  <si>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</si>
  <si>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</si>
  <si>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</si>
  <si>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</si>
  <si>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</si>
  <si>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</si>
  <si>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</si>
  <si>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</si>
  <si>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</si>
  <si>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</si>
  <si>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</si>
  <si>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</si>
  <si>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</si>
  <si>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</si>
  <si>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</si>
  <si>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</si>
  <si>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</si>
  <si>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</si>
  <si>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</si>
  <si>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</si>
  <si>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</si>
  <si>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</si>
  <si>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</si>
  <si>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</si>
  <si>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</si>
  <si>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</si>
  <si>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</si>
  <si>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</si>
  <si>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</si>
  <si>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</si>
  <si>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</si>
  <si>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</si>
  <si>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</si>
  <si>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</si>
  <si>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</si>
  <si>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</si>
  <si>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</si>
  <si>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</si>
  <si>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</si>
  <si>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</si>
  <si>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</si>
  <si>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</si>
  <si>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</si>
  <si>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</si>
  <si>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</si>
  <si>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</si>
  <si>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</si>
  <si>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</si>
  <si>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</si>
  <si>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</si>
  <si>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</si>
  <si>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</si>
  <si>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</si>
  <si>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</si>
  <si>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</si>
  <si>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</si>
  <si>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</si>
  <si>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</si>
  <si>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</si>
  <si>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</si>
  <si>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</si>
  <si>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</si>
  <si>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</si>
  <si>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</si>
  <si>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</si>
  <si>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</si>
  <si>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</si>
  <si>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</si>
  <si>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</si>
  <si>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</si>
  <si>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</si>
  <si>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</si>
  <si>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</si>
  <si>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</si>
  <si>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</si>
  <si>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</si>
  <si>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</si>
  <si>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</si>
  <si>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</si>
  <si>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</si>
  <si>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</si>
  <si>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</si>
  <si>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</si>
  <si>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</si>
  <si>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</si>
  <si>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</si>
  <si>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</si>
  <si>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</si>
  <si>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</si>
  <si>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</si>
  <si>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</si>
  <si>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</si>
  <si>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</si>
  <si>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</si>
  <si>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</si>
  <si>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</si>
  <si>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</si>
  <si>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</si>
  <si>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</si>
  <si>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</si>
  <si>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</si>
  <si>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</si>
  <si>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</si>
  <si>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</si>
  <si>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</si>
  <si>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</si>
  <si>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</si>
  <si>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</si>
  <si>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</si>
  <si>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</si>
  <si>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</si>
  <si>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</si>
  <si>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</si>
  <si>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</si>
  <si>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</si>
  <si>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</si>
  <si>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</si>
  <si>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</si>
  <si>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</si>
  <si>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</si>
  <si>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</si>
  <si>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</si>
  <si>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</si>
  <si>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</si>
  <si>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</si>
  <si>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</si>
  <si>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</si>
  <si>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</si>
  <si>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</si>
  <si>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</si>
  <si>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</si>
  <si>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</si>
  <si>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</si>
  <si>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</si>
  <si>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</si>
  <si>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</si>
  <si>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</si>
  <si>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</si>
  <si>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</si>
  <si>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</si>
  <si>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</si>
  <si>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</si>
  <si>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</si>
  <si>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</si>
  <si>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</si>
  <si>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</si>
  <si>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</si>
  <si>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</si>
  <si>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</si>
  <si>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</si>
  <si>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</si>
  <si>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</si>
  <si>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</si>
  <si>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</si>
  <si>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</si>
  <si>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</si>
  <si>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</si>
  <si>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</si>
  <si>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</si>
  <si>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</si>
  <si>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</si>
  <si>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</si>
  <si>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</si>
  <si>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</si>
  <si>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</si>
  <si>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</si>
  <si>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</si>
  <si>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</si>
  <si>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</si>
  <si>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</si>
  <si>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</si>
  <si>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</si>
  <si>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</si>
  <si>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</si>
  <si>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</si>
  <si>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</si>
  <si>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</si>
  <si>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</si>
  <si>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</si>
  <si>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</si>
  <si>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</si>
  <si>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</si>
  <si>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</si>
  <si>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</si>
  <si>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</si>
  <si>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</si>
  <si>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</si>
  <si>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</si>
  <si>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</si>
  <si>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</si>
  <si>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</si>
  <si>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</si>
  <si>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</si>
  <si>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</si>
  <si>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</si>
  <si>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</si>
  <si>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</si>
  <si>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</si>
  <si>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</si>
  <si>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</si>
  <si>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</si>
  <si>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</si>
  <si>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</si>
  <si>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</si>
  <si>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</si>
  <si>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</si>
  <si>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</si>
  <si>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</si>
  <si>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</si>
  <si>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</si>
  <si>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</si>
  <si>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</si>
  <si>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</si>
  <si>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</si>
  <si>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</si>
  <si>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</si>
  <si>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</si>
  <si>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</si>
  <si>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</si>
  <si>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</si>
  <si>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</si>
  <si>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</si>
  <si>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</si>
  <si>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</si>
  <si>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</si>
  <si>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</si>
  <si>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</si>
  <si>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</si>
  <si>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</si>
  <si>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</si>
  <si>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</si>
  <si>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</si>
  <si>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</si>
  <si>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</si>
  <si>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</si>
  <si>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</si>
  <si>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</si>
  <si>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</si>
  <si>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</si>
  <si>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</si>
  <si>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</si>
  <si>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</si>
  <si>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</si>
  <si>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</si>
  <si>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</si>
  <si>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</si>
  <si>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</si>
  <si>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</si>
  <si>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</si>
  <si>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</si>
  <si>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</si>
  <si>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</si>
  <si>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</si>
  <si>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</si>
  <si>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</si>
  <si>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</si>
  <si>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</si>
  <si>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</si>
  <si>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</si>
  <si>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</si>
  <si>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</si>
  <si>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</si>
  <si>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</si>
  <si>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</si>
  <si>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</si>
  <si>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</si>
  <si>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</si>
  <si>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</si>
  <si>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</si>
  <si>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</si>
  <si>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</si>
  <si>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</si>
  <si>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</si>
  <si>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</si>
  <si>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</si>
  <si>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</si>
  <si>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</si>
  <si>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</si>
  <si>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</si>
  <si>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</si>
  <si>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</si>
  <si>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</si>
  <si>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</si>
  <si>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</si>
  <si>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</si>
  <si>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</si>
  <si>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</si>
  <si>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</si>
  <si>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</si>
  <si>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</si>
  <si>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</si>
  <si>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</si>
  <si>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</si>
  <si>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</si>
  <si>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</si>
  <si>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</si>
  <si>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</si>
  <si>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</si>
  <si>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</si>
  <si>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</si>
  <si>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</si>
  <si>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</si>
  <si>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</si>
  <si>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</si>
  <si>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</si>
  <si>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</si>
  <si>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</si>
  <si>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</si>
  <si>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</si>
  <si>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</si>
  <si>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</si>
  <si>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</si>
  <si>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</si>
  <si>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</si>
  <si>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</si>
  <si>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</si>
  <si>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</si>
  <si>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</si>
  <si>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</si>
  <si>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</si>
  <si>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</si>
  <si>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</si>
  <si>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</si>
  <si>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</si>
  <si>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</si>
  <si>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</si>
  <si>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</si>
  <si>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</si>
  <si>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</si>
  <si>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</si>
  <si>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</si>
  <si>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</si>
  <si>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</si>
  <si>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</si>
  <si>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</si>
  <si>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</si>
  <si>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</si>
  <si>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</si>
  <si>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</si>
  <si>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</si>
  <si>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</si>
  <si>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</si>
  <si>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</si>
  <si>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</si>
  <si>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</si>
  <si>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</si>
  <si>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</si>
  <si>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</si>
  <si>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</si>
  <si>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</si>
  <si>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</si>
  <si>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</si>
  <si>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</si>
  <si>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</si>
  <si>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</si>
  <si>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</si>
  <si>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</si>
  <si>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</si>
  <si>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</si>
  <si>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</si>
  <si>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</si>
  <si>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</si>
  <si>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</si>
  <si>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</si>
  <si>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</si>
  <si>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</si>
  <si>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</si>
  <si>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</si>
  <si>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</si>
  <si>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</si>
  <si>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</si>
  <si>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</si>
  <si>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</si>
  <si>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</si>
  <si>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</si>
  <si>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</si>
  <si>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</si>
  <si>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</si>
  <si>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</si>
  <si>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</si>
  <si>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</si>
  <si>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</si>
  <si>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</si>
  <si>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</si>
  <si>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</si>
  <si>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</si>
  <si>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</si>
  <si>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</si>
  <si>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</si>
  <si>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</si>
  <si>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</si>
  <si>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</si>
  <si>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</si>
  <si>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</si>
  <si>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</si>
  <si>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</si>
  <si>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</si>
  <si>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</si>
  <si>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</si>
  <si>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</si>
  <si>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</si>
  <si>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</si>
  <si>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</si>
  <si>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</si>
  <si>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</si>
  <si>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</si>
  <si>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</si>
  <si>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</si>
  <si>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</si>
  <si>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</si>
  <si>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</si>
  <si>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</si>
  <si>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</si>
  <si>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</si>
  <si>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</si>
  <si>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</si>
  <si>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</si>
  <si>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</si>
  <si>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</si>
  <si>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</si>
  <si>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</si>
  <si>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</si>
  <si>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</si>
  <si>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</si>
  <si>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</si>
  <si>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</si>
  <si>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</si>
  <si>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</si>
  <si>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</si>
  <si>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</si>
  <si>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</si>
  <si>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</si>
  <si>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</si>
  <si>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</si>
  <si>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</si>
  <si>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</si>
  <si>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</si>
  <si>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</si>
  <si>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</si>
  <si>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</si>
  <si>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</si>
  <si>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</si>
  <si>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</si>
  <si>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</si>
  <si>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</si>
  <si>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</si>
  <si>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</si>
  <si>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</si>
  <si>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</si>
  <si>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</si>
  <si>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</si>
  <si>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</si>
  <si>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</si>
  <si>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</si>
  <si>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</si>
  <si>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</si>
  <si>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</si>
  <si>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</si>
  <si>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</si>
  <si>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</si>
  <si>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</si>
  <si>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</si>
  <si>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</si>
  <si>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</si>
  <si>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</si>
  <si>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</si>
  <si>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</si>
  <si>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</si>
  <si>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</si>
  <si>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</si>
  <si>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</si>
  <si>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</si>
  <si>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</si>
  <si>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</si>
  <si>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</si>
  <si>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</si>
  <si>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</si>
  <si>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</si>
  <si>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</si>
  <si>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</si>
  <si>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</si>
  <si>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</si>
  <si>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</si>
  <si>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</si>
  <si>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</si>
  <si>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</si>
  <si>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</si>
  <si>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</si>
  <si>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</si>
  <si>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</si>
  <si>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</si>
  <si>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</si>
  <si>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</si>
  <si>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</si>
  <si>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</si>
  <si>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</si>
  <si>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</si>
  <si>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</si>
  <si>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</si>
  <si>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</si>
  <si>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</si>
  <si>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</si>
  <si>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</si>
  <si>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</si>
  <si>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</si>
  <si>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</si>
  <si>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</si>
  <si>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</si>
  <si>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</si>
  <si>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</si>
  <si>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</si>
  <si>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</si>
  <si>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</si>
  <si>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</si>
  <si>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</si>
  <si>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</si>
  <si>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</si>
  <si>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</si>
  <si>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</si>
  <si>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</si>
  <si>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</si>
  <si>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</si>
  <si>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</si>
  <si>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</si>
  <si>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</si>
  <si>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</si>
  <si>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</si>
  <si>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</si>
  <si>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</si>
  <si>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</si>
  <si>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</si>
  <si>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</si>
  <si>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</si>
  <si>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</si>
  <si>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</si>
  <si>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</si>
  <si>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</si>
  <si>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</si>
  <si>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</si>
  <si>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</si>
  <si>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</si>
  <si>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</si>
  <si>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</si>
  <si>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</si>
  <si>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</si>
  <si>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</si>
  <si>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</si>
  <si>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</si>
  <si>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</si>
  <si>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</si>
  <si>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</si>
  <si>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</si>
  <si>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</si>
  <si>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</si>
  <si>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</si>
  <si>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</si>
  <si>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</si>
  <si>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</si>
  <si>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</si>
  <si>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</si>
  <si>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</si>
  <si>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</si>
  <si>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</si>
  <si>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</si>
  <si>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</si>
  <si>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</si>
  <si>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</si>
  <si>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</si>
  <si>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</si>
  <si>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</si>
  <si>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</si>
  <si>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</si>
  <si>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</si>
  <si>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</si>
  <si>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</si>
  <si>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</si>
  <si>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</si>
  <si>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</si>
  <si>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</si>
  <si>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</si>
  <si>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</si>
  <si>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</si>
  <si>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</si>
  <si>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</si>
  <si>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</si>
  <si>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</si>
  <si>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</si>
  <si>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</si>
  <si>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</si>
  <si>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</si>
  <si>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</si>
  <si>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</si>
  <si>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</si>
  <si>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</si>
  <si>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</si>
  <si>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</si>
  <si>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</si>
  <si>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</si>
  <si>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</si>
  <si>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</si>
  <si>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</si>
  <si>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</si>
  <si>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</si>
  <si>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</si>
  <si>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</si>
  <si>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</si>
  <si>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</si>
  <si>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</si>
  <si>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</si>
  <si>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</si>
  <si>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</si>
  <si>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</si>
  <si>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</si>
  <si>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</si>
  <si>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</si>
  <si>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</si>
  <si>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</si>
  <si>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</si>
  <si>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</si>
  <si>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</si>
  <si>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</si>
  <si>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</si>
  <si>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</si>
  <si>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</si>
  <si>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</si>
  <si>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</si>
  <si>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</si>
  <si>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</si>
  <si>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</si>
  <si>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</si>
  <si>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</si>
  <si>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</si>
  <si>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</si>
  <si>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</si>
  <si>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</si>
  <si>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</si>
  <si>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</si>
  <si>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</si>
  <si>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</si>
  <si>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</si>
  <si>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</si>
  <si>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</si>
  <si>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</si>
  <si>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</si>
  <si>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</si>
  <si>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</si>
  <si>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</si>
  <si>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</si>
  <si>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</si>
  <si>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</si>
  <si>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</si>
  <si>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</si>
  <si>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</si>
  <si>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</si>
  <si>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</si>
  <si>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</si>
  <si>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</si>
  <si>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</si>
  <si>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</si>
  <si>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</si>
  <si>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</si>
  <si>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</si>
  <si>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</si>
  <si>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</si>
  <si>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</si>
  <si>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</si>
  <si>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</si>
  <si>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</si>
  <si>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</si>
  <si>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</si>
  <si>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</si>
  <si>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</si>
  <si>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</si>
  <si>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</si>
  <si>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</si>
  <si>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</si>
  <si>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</si>
  <si>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</si>
  <si>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</si>
  <si>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</si>
  <si>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</si>
  <si>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</si>
  <si>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</si>
  <si>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</si>
  <si>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</si>
  <si>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</si>
  <si>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</si>
  <si>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</si>
  <si>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</si>
  <si>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</si>
  <si>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</si>
  <si>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</si>
  <si>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</si>
  <si>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</si>
  <si>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</si>
  <si>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</si>
  <si>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</si>
  <si>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</si>
  <si>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</si>
  <si>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</si>
  <si>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</si>
  <si>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</si>
  <si>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</si>
  <si>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</si>
  <si>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</si>
  <si>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</si>
  <si>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</si>
  <si>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</si>
  <si>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</si>
  <si>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</si>
  <si>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</si>
  <si>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</si>
  <si>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</si>
  <si>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</si>
  <si>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</si>
  <si>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</si>
  <si>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</si>
  <si>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</si>
  <si>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</si>
  <si>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</si>
  <si>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</si>
  <si>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</si>
  <si>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</si>
  <si>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</si>
  <si>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</si>
  <si>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</si>
  <si>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</si>
  <si>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</si>
  <si>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</si>
  <si>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</si>
  <si>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</si>
  <si>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</si>
  <si>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</si>
  <si>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</si>
  <si>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</si>
  <si>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</si>
  <si>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</si>
  <si>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</si>
  <si>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</si>
  <si>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</si>
  <si>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</si>
  <si>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</si>
  <si>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</si>
  <si>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</si>
  <si>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</si>
  <si>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</si>
  <si>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</si>
  <si>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</si>
  <si>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</si>
  <si>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</si>
  <si>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</si>
  <si>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</si>
  <si>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</si>
  <si>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</si>
  <si>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</si>
  <si>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</si>
  <si>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</si>
  <si>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</si>
  <si>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</si>
  <si>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</si>
  <si>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</si>
  <si>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</si>
  <si>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</si>
  <si>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</si>
  <si>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</si>
  <si>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</si>
  <si>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</si>
  <si>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</si>
  <si>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</si>
  <si>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</si>
  <si>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</si>
  <si>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</si>
  <si>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</si>
  <si>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</si>
  <si>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</si>
  <si>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</si>
  <si>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</si>
  <si>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</si>
  <si>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</si>
  <si>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</si>
  <si>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</si>
  <si>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</si>
  <si>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</si>
  <si>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</si>
  <si>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</si>
  <si>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</si>
  <si>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</si>
  <si>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</si>
  <si>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</si>
  <si>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</si>
  <si>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</si>
  <si>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</si>
  <si>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</si>
  <si>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</si>
  <si>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</si>
  <si>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</si>
  <si>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</si>
  <si>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</si>
  <si>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</si>
  <si>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</si>
  <si>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</si>
  <si>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</si>
  <si>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</si>
  <si>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</si>
  <si>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</si>
  <si>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</si>
  <si>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</si>
  <si>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</si>
  <si>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</si>
  <si>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</si>
  <si>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</si>
  <si>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</si>
  <si>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</si>
  <si>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</si>
  <si>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</si>
  <si>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</si>
  <si>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</si>
  <si>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</si>
  <si>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</si>
  <si>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</si>
  <si>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</si>
  <si>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</si>
  <si>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</si>
  <si>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</si>
  <si>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</si>
  <si>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</si>
  <si>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</si>
  <si>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</si>
  <si>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</si>
  <si>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</si>
  <si>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</si>
  <si>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</si>
  <si>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</si>
  <si>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</si>
  <si>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</si>
  <si>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</si>
  <si>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</si>
  <si>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</si>
  <si>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</si>
  <si>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</si>
  <si>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</si>
  <si>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</si>
  <si>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</si>
  <si>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</si>
  <si>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</si>
  <si>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</si>
  <si>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</si>
  <si>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</si>
  <si>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</si>
  <si>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</si>
  <si>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</si>
  <si>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</si>
  <si>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</si>
  <si>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</si>
  <si>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</si>
  <si>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</si>
  <si>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</si>
  <si>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</si>
  <si>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</si>
  <si>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</si>
  <si>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</si>
  <si>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</si>
  <si>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</si>
  <si>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</si>
  <si>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</si>
  <si>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</si>
  <si>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</si>
  <si>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</si>
  <si>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</si>
  <si>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</si>
  <si>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</si>
  <si>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</si>
  <si>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</si>
  <si>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</si>
  <si>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</si>
  <si>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</si>
  <si>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</si>
  <si>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</si>
  <si>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</si>
  <si>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</si>
  <si>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</si>
  <si>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</si>
  <si>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</si>
  <si>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</si>
  <si>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</si>
  <si>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</si>
  <si>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</si>
  <si>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</si>
  <si>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</si>
  <si>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</si>
  <si>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</si>
  <si>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</si>
  <si>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</si>
  <si>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</si>
  <si>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</si>
  <si>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</si>
  <si>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</si>
  <si>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</si>
  <si>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</si>
  <si>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</si>
  <si>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</si>
  <si>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</si>
  <si>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</si>
  <si>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</si>
  <si>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</si>
  <si>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</si>
  <si>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</si>
  <si>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</si>
  <si>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</si>
  <si>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</si>
  <si>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</si>
  <si>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</si>
  <si>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</si>
  <si>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</si>
  <si>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</si>
  <si>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</si>
  <si>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</si>
  <si>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</si>
  <si>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</si>
  <si>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</si>
  <si>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</si>
  <si>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</si>
  <si>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</si>
  <si>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</si>
  <si>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</si>
  <si>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</si>
  <si>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</si>
  <si>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</si>
  <si>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</si>
  <si>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</si>
  <si>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</si>
  <si>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</si>
  <si>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</si>
  <si>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</si>
  <si>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</si>
  <si>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</si>
  <si>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</si>
  <si>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</si>
  <si>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</si>
  <si>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</si>
  <si>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</si>
  <si>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</si>
  <si>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</si>
  <si>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</si>
  <si>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</si>
  <si>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</si>
  <si>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</si>
  <si>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</si>
  <si>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</si>
  <si>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</si>
  <si>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</si>
  <si>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</si>
  <si>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</si>
  <si>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</si>
  <si>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</si>
  <si>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</si>
  <si>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</si>
  <si>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</si>
  <si>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</si>
  <si>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</si>
  <si>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</si>
  <si>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</si>
  <si>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</si>
  <si>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</si>
  <si>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</si>
  <si>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</si>
  <si>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</si>
  <si>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</si>
  <si>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</si>
  <si>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</si>
  <si>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</si>
  <si>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</si>
  <si>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</si>
  <si>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</si>
  <si>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</si>
  <si>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</si>
  <si>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</si>
  <si>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</si>
  <si>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</si>
  <si>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</si>
  <si>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</si>
  <si>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</si>
  <si>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</si>
  <si>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</si>
  <si>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</si>
  <si>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</si>
  <si>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</si>
  <si>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</si>
  <si>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</si>
  <si>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</si>
  <si>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</si>
  <si>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</si>
  <si>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</si>
  <si>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</si>
  <si>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</si>
  <si>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</si>
  <si>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</si>
  <si>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</si>
  <si>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</si>
  <si>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</si>
  <si>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</si>
  <si>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</si>
  <si>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</si>
  <si>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</si>
  <si>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</si>
  <si>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</si>
  <si>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</si>
  <si>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</si>
  <si>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</si>
  <si>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</si>
  <si>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</si>
  <si>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</si>
  <si>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</si>
  <si>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</si>
  <si>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</si>
  <si>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</si>
  <si>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</si>
  <si>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</si>
  <si>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</si>
  <si>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</si>
  <si>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</si>
  <si>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</si>
  <si>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</si>
  <si>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</si>
  <si>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</si>
  <si>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</si>
  <si>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</si>
  <si>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</si>
  <si>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</si>
  <si>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</si>
  <si>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</si>
  <si>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</si>
  <si>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</si>
  <si>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</si>
  <si>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</si>
  <si>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</si>
  <si>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</si>
  <si>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</si>
  <si>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</si>
  <si>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</si>
  <si>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</si>
  <si>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</si>
  <si>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</si>
  <si>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</si>
  <si>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</si>
  <si>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</si>
  <si>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</si>
  <si>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</si>
  <si>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</si>
  <si>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</si>
  <si>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</si>
  <si>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</si>
  <si>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</si>
  <si>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</si>
  <si>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</si>
  <si>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</si>
  <si>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</si>
  <si>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</si>
  <si>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</si>
  <si>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</si>
  <si>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</si>
  <si>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</si>
  <si>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</si>
  <si>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</si>
  <si>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</si>
  <si>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</si>
  <si>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</si>
  <si>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</si>
  <si>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</si>
  <si>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</si>
  <si>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</si>
  <si>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</si>
  <si>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</si>
  <si>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</si>
  <si>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</si>
  <si>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</si>
  <si>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</si>
  <si>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</si>
  <si>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</si>
  <si>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</si>
  <si>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</si>
  <si>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</si>
  <si>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</si>
  <si>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</si>
  <si>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</si>
  <si>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</si>
  <si>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</si>
  <si>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</si>
  <si>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</si>
  <si>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</si>
  <si>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</si>
  <si>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</si>
  <si>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</si>
  <si>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</si>
  <si>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</si>
  <si>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</si>
  <si>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</si>
  <si>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</si>
  <si>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</si>
  <si>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</si>
  <si>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</si>
  <si>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</si>
  <si>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</si>
  <si>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</si>
  <si>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</si>
  <si>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</si>
  <si>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</si>
  <si>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</si>
  <si>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</si>
  <si>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</si>
  <si>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</si>
  <si>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</si>
  <si>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</si>
  <si>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</si>
  <si>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</si>
  <si>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</si>
  <si>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</si>
  <si>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</si>
  <si>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</si>
  <si>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</si>
  <si>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</si>
  <si>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</si>
  <si>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</si>
  <si>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</si>
  <si>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</si>
  <si>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</si>
  <si>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</si>
  <si>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</si>
  <si>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</si>
  <si>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</si>
  <si>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</si>
  <si>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</si>
  <si>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</si>
  <si>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</si>
  <si>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</si>
  <si>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</si>
  <si>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</si>
  <si>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</si>
  <si>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</si>
  <si>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</si>
  <si>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</si>
  <si>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</si>
  <si>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</si>
  <si>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</si>
  <si>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</si>
  <si>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</si>
  <si>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</si>
  <si>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</si>
  <si>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</si>
  <si>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</si>
  <si>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</si>
  <si>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</si>
  <si>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</si>
  <si>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</si>
  <si>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</si>
  <si>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</si>
  <si>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</si>
  <si>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</si>
  <si>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</si>
  <si>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</si>
  <si>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</si>
  <si>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</si>
  <si>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</si>
  <si>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</si>
  <si>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</si>
  <si>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</si>
  <si>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</si>
  <si>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</si>
  <si>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</si>
  <si>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</si>
  <si>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</si>
  <si>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</si>
  <si>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</si>
  <si>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</si>
  <si>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</si>
  <si>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</si>
  <si>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</si>
  <si>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</si>
  <si>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</si>
  <si>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</si>
  <si>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</si>
  <si>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</si>
  <si>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</si>
  <si>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</si>
  <si>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</si>
  <si>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</si>
  <si>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</si>
  <si>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</si>
  <si>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</si>
  <si>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</si>
  <si>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</si>
  <si>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</si>
  <si>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</si>
  <si>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</si>
  <si>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</si>
  <si>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</si>
  <si>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</si>
  <si>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</si>
  <si>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</si>
  <si>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</si>
  <si>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</si>
  <si>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</si>
  <si>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</si>
  <si>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</si>
  <si>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</si>
  <si>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</si>
  <si>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</si>
  <si>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</si>
  <si>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</si>
  <si>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</si>
  <si>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</si>
  <si>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</si>
  <si>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</si>
  <si>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</si>
  <si>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</si>
  <si>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</si>
  <si>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</si>
  <si>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</si>
  <si>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</si>
  <si>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</si>
  <si>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</si>
  <si>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</si>
  <si>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</si>
  <si>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</si>
  <si>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</si>
  <si>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</si>
  <si>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</si>
  <si>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</si>
  <si>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</si>
  <si>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</si>
  <si>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</si>
  <si>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</si>
  <si>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</si>
  <si>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</si>
  <si>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</si>
  <si>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</si>
  <si>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</si>
  <si>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</si>
  <si>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</si>
  <si>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</si>
  <si>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</si>
  <si>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</si>
  <si>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</si>
  <si>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</si>
  <si>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</si>
  <si>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</si>
  <si>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</si>
  <si>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</si>
  <si>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</si>
  <si>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</si>
  <si>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</si>
  <si>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</si>
  <si>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</si>
  <si>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</si>
  <si>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</si>
  <si>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</si>
  <si>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</si>
  <si>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</si>
  <si>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</si>
  <si>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</si>
  <si>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</si>
  <si>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</si>
  <si>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</si>
  <si>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</si>
  <si>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</si>
  <si>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</si>
  <si>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</si>
  <si>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</si>
  <si>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</si>
  <si>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</si>
  <si>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</si>
  <si>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</si>
  <si>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</si>
  <si>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</si>
  <si>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</si>
  <si>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</si>
  <si>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</si>
  <si>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</si>
  <si>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</si>
  <si>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</si>
  <si>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</si>
  <si>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</si>
  <si>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</si>
  <si>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</si>
  <si>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</si>
  <si>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</si>
  <si>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</si>
  <si>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</si>
  <si>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</si>
  <si>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</si>
  <si>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</si>
  <si>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</si>
  <si>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</si>
  <si>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</si>
  <si>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</si>
  <si>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</si>
  <si>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</si>
  <si>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</si>
  <si>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</si>
  <si>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</si>
  <si>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</si>
  <si>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</si>
  <si>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</si>
  <si>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</si>
  <si>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</si>
  <si>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</si>
  <si>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</si>
  <si>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</si>
  <si>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</si>
  <si>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</si>
  <si>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</si>
  <si>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</si>
  <si>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</si>
  <si>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</si>
  <si>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</si>
  <si>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</si>
  <si>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</si>
  <si>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</si>
  <si>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</si>
  <si>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</si>
  <si>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</si>
  <si>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</si>
  <si>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</si>
  <si>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</si>
  <si>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</si>
  <si>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</si>
  <si>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</si>
  <si>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</si>
  <si>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</si>
  <si>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</si>
  <si>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</si>
  <si>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</si>
  <si>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</si>
  <si>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</si>
  <si>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</si>
  <si>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</si>
  <si>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</si>
  <si>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</si>
  <si>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</si>
  <si>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</si>
  <si>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</si>
  <si>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</si>
  <si>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</si>
  <si>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</si>
  <si>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</si>
  <si>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</si>
  <si>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</si>
  <si>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</si>
  <si>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</si>
  <si>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</si>
  <si>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</si>
  <si>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</si>
  <si>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</si>
  <si>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</si>
  <si>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</si>
  <si>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</si>
  <si>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</si>
  <si>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</si>
  <si>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</si>
  <si>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</si>
  <si>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</si>
  <si>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</si>
  <si>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</si>
  <si>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</si>
  <si>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</si>
  <si>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</si>
  <si>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</si>
  <si>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</si>
  <si>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</si>
  <si>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</si>
  <si>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</si>
  <si>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</si>
  <si>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</si>
  <si>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</si>
  <si>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</si>
  <si>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</si>
  <si>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</si>
  <si>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</si>
  <si>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</si>
  <si>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</si>
  <si>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</si>
  <si>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</si>
  <si>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</si>
  <si>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</si>
  <si>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</si>
  <si>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</si>
  <si>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</si>
  <si>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</si>
  <si>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</si>
  <si>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</si>
  <si>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</si>
  <si>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</si>
  <si>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</si>
  <si>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</si>
  <si>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</si>
  <si>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</si>
  <si>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</si>
  <si>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</si>
  <si>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</si>
  <si>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</si>
  <si>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</si>
  <si>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</si>
  <si>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</si>
  <si>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</si>
  <si>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</si>
  <si>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</si>
  <si>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</si>
  <si>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</si>
  <si>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</si>
  <si>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</si>
  <si>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</si>
  <si>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</si>
  <si>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</si>
  <si>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</si>
  <si>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</si>
  <si>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</si>
  <si>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</si>
  <si>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</si>
  <si>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</si>
  <si>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</si>
  <si>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</si>
  <si>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</si>
  <si>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</si>
  <si>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</si>
  <si>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</si>
  <si>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</si>
  <si>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</si>
  <si>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</si>
  <si>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</si>
  <si>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</si>
  <si>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</si>
  <si>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</si>
  <si>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</si>
  <si>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</si>
  <si>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</si>
  <si>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</si>
  <si>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</si>
  <si>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</si>
  <si>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</si>
  <si>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</si>
  <si>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</si>
  <si>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</si>
  <si>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</si>
  <si>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</si>
  <si>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</si>
  <si>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</si>
  <si>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</si>
  <si>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</si>
  <si>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</si>
  <si>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</si>
  <si>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</si>
  <si>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</si>
  <si>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</si>
  <si>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</si>
  <si>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</si>
  <si>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</si>
  <si>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</si>
  <si>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</si>
  <si>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</si>
  <si>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</si>
  <si>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</si>
  <si>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</si>
  <si>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</si>
  <si>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</si>
  <si>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</si>
  <si>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</si>
  <si>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</si>
  <si>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</si>
  <si>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</si>
  <si>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</si>
  <si>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</si>
  <si>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</si>
  <si>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</si>
  <si>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</si>
  <si>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</si>
  <si>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</si>
  <si>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</si>
  <si>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</si>
  <si>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</si>
  <si>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</si>
  <si>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</si>
  <si>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</si>
  <si>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</si>
  <si>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</si>
  <si>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</si>
  <si>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</si>
  <si>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</si>
  <si>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</si>
  <si>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</si>
  <si>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</si>
  <si>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</si>
  <si>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</si>
  <si>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</si>
  <si>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</si>
  <si>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</si>
  <si>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</si>
  <si>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</si>
  <si>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</si>
  <si>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</si>
  <si>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</si>
  <si>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</si>
  <si>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</si>
  <si>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</si>
  <si>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</si>
  <si>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</si>
  <si>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</si>
  <si>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</si>
  <si>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</si>
  <si>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</si>
  <si>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</si>
  <si>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</si>
  <si>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</si>
  <si>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</si>
  <si>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</si>
  <si>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</si>
  <si>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</si>
  <si>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</si>
  <si>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</si>
  <si>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</si>
  <si>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</si>
  <si>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</si>
  <si>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</si>
  <si>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</si>
  <si>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</si>
  <si>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</si>
  <si>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</si>
  <si>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</si>
  <si>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</si>
  <si>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</si>
  <si>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</si>
  <si>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</si>
  <si>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</si>
  <si>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</si>
  <si>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</si>
  <si>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</si>
  <si>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</si>
  <si>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</si>
  <si>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</si>
  <si>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</si>
  <si>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</si>
  <si>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</si>
  <si>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</si>
  <si>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</si>
  <si>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</si>
  <si>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</si>
  <si>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</si>
  <si>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</si>
  <si>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</si>
  <si>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</si>
  <si>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</si>
  <si>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</si>
  <si>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</si>
  <si>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</si>
  <si>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</si>
  <si>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</si>
  <si>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</si>
  <si>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</si>
  <si>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</si>
  <si>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</si>
  <si>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</si>
  <si>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</si>
  <si>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</si>
  <si>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</si>
  <si>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</si>
  <si>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</si>
  <si>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</si>
  <si>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</si>
  <si>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</si>
  <si>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</si>
  <si>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</si>
  <si>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</si>
  <si>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</si>
  <si>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</si>
  <si>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</si>
  <si>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</si>
  <si>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</si>
  <si>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</si>
  <si>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</si>
  <si>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</si>
  <si>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</si>
  <si>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</si>
  <si>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</si>
  <si>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</si>
  <si>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</si>
  <si>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</si>
  <si>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</si>
  <si>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</si>
  <si>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</si>
  <si>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</si>
  <si>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</si>
  <si>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</si>
  <si>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</si>
  <si>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</si>
  <si>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</si>
  <si>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</si>
  <si>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</si>
  <si>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</si>
  <si>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</si>
  <si>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</si>
  <si>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</si>
  <si>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</si>
  <si>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</si>
  <si>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</si>
  <si>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</si>
  <si>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</si>
  <si>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</si>
  <si>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</si>
  <si>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</si>
  <si>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</si>
  <si>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</si>
  <si>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</si>
  <si>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</si>
  <si>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</si>
  <si>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</si>
  <si>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</si>
  <si>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</si>
  <si>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</si>
  <si>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</si>
  <si>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</si>
  <si>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</si>
  <si>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</si>
  <si>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</si>
  <si>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</si>
  <si>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</si>
  <si>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</si>
  <si>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</si>
  <si>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</si>
  <si>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</si>
  <si>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</si>
  <si>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</si>
  <si>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</si>
  <si>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</si>
  <si>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</si>
  <si>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</si>
  <si>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</si>
  <si>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</si>
  <si>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</si>
  <si>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</si>
  <si>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</si>
  <si>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</si>
  <si>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</si>
  <si>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</si>
  <si>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</si>
  <si>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</si>
  <si>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</si>
  <si>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</si>
  <si>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</si>
  <si>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</si>
  <si>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</si>
  <si>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</si>
  <si>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</si>
  <si>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</si>
  <si>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</si>
  <si>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</si>
  <si>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</si>
  <si>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</si>
  <si>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</si>
  <si>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</si>
  <si>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</si>
  <si>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</si>
  <si>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</si>
  <si>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</si>
  <si>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</si>
  <si>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</si>
  <si>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</si>
  <si>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</si>
  <si>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</si>
  <si>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</si>
  <si>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</si>
  <si>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</si>
  <si>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</si>
  <si>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</si>
  <si>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</si>
  <si>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</si>
  <si>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</si>
  <si>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</si>
  <si>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</si>
  <si>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</si>
  <si>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</si>
  <si>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</si>
  <si>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</si>
  <si>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</si>
  <si>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</si>
  <si>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</si>
  <si>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</si>
  <si>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</si>
  <si>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</si>
  <si>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</si>
  <si>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</si>
  <si>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</si>
  <si>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</si>
  <si>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</si>
  <si>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</si>
  <si>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</si>
  <si>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</si>
  <si>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</si>
  <si>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</si>
  <si>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</si>
  <si>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</si>
  <si>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</si>
  <si>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</si>
  <si>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</si>
  <si>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</si>
  <si>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</si>
  <si>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</si>
  <si>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</si>
  <si>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</si>
  <si>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</si>
  <si>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</si>
  <si>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</si>
  <si>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</si>
  <si>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</si>
  <si>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</si>
  <si>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</si>
  <si>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</si>
  <si>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</si>
  <si>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</si>
  <si>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</si>
  <si>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</si>
  <si>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</si>
  <si>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</si>
  <si>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</si>
  <si>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</si>
  <si>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</si>
  <si>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</si>
  <si>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</si>
  <si>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</si>
  <si>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</si>
  <si>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</si>
  <si>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</si>
  <si>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</si>
  <si>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</si>
  <si>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</si>
  <si>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</si>
  <si>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</si>
  <si>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</si>
  <si>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</si>
  <si>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</si>
  <si>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</si>
  <si>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</si>
  <si>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</si>
  <si>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</si>
  <si>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</si>
  <si>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</si>
  <si>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</si>
  <si>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</si>
  <si>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</si>
  <si>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</si>
  <si>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</si>
  <si>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</si>
  <si>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</si>
  <si>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</si>
  <si>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</si>
  <si>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</si>
  <si>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</si>
  <si>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</si>
  <si>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</si>
  <si>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</si>
  <si>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</si>
  <si>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</si>
  <si>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</si>
  <si>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</si>
  <si>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</si>
  <si>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</si>
  <si>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</si>
  <si>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</si>
  <si>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</si>
  <si>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</si>
  <si>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</si>
  <si>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</si>
  <si>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</si>
  <si>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</si>
  <si>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</si>
  <si>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</si>
  <si>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</si>
  <si>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</si>
  <si>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</si>
  <si>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</si>
  <si>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</si>
  <si>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</si>
  <si>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</si>
  <si>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</si>
  <si>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</si>
  <si>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</si>
  <si>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</si>
  <si>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</si>
  <si>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</si>
  <si>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</si>
  <si>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</si>
  <si>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</si>
  <si>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</si>
  <si>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</si>
  <si>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</si>
  <si>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</si>
  <si>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</si>
  <si>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</si>
  <si>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</si>
  <si>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</si>
  <si>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</si>
  <si>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</si>
  <si>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</si>
  <si>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</si>
  <si>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</si>
  <si>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</si>
  <si>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</si>
  <si>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</si>
  <si>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</si>
  <si>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</si>
  <si>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</si>
  <si>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</si>
  <si>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</si>
  <si>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</si>
  <si>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</si>
  <si>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</si>
  <si>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</si>
  <si>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</si>
  <si>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</si>
  <si>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</si>
  <si>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</si>
  <si>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</si>
  <si>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</si>
  <si>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</si>
  <si>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</si>
  <si>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</si>
  <si>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</si>
  <si>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</si>
  <si>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</si>
  <si>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</si>
  <si>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</si>
  <si>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</si>
  <si>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</si>
  <si>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</si>
  <si>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</si>
  <si>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</si>
  <si>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</si>
  <si>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</si>
  <si>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</si>
  <si>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</si>
  <si>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</si>
  <si>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</si>
  <si>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</si>
  <si>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</si>
  <si>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</si>
  <si>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</si>
  <si>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</si>
  <si>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</si>
  <si>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</si>
  <si>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</si>
  <si>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</si>
  <si>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</si>
  <si>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</si>
  <si>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</si>
  <si>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</si>
  <si>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</si>
  <si>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</si>
  <si>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</si>
  <si>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</si>
  <si>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</si>
  <si>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</si>
  <si>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</si>
  <si>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</si>
  <si>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</si>
  <si>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</si>
  <si>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</si>
  <si>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</si>
  <si>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</si>
  <si>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</si>
  <si>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</si>
  <si>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</si>
  <si>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</si>
  <si>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</si>
  <si>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</si>
  <si>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</si>
  <si>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</si>
  <si>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</si>
  <si>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</si>
  <si>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</si>
  <si>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</si>
  <si>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</si>
  <si>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</si>
  <si>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</si>
  <si>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</si>
  <si>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</si>
  <si>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</si>
  <si>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</si>
  <si>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</si>
  <si>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</si>
  <si>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</si>
  <si>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</si>
  <si>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</si>
  <si>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</si>
  <si>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</si>
  <si>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</si>
  <si>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</si>
  <si>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</si>
  <si>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</si>
  <si>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</si>
  <si>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</si>
  <si>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</si>
  <si>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</si>
  <si>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</si>
  <si>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</si>
  <si>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</si>
  <si>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</si>
  <si>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</si>
  <si>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</si>
  <si>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</si>
  <si>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</si>
  <si>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</si>
  <si>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</si>
  <si>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</si>
  <si>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</si>
  <si>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</si>
  <si>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</si>
  <si>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</si>
  <si>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</si>
  <si>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</si>
  <si>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</si>
  <si>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</si>
  <si>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</si>
  <si>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</si>
  <si>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</si>
  <si>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</si>
  <si>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</si>
  <si>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</si>
  <si>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</si>
  <si>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</si>
  <si>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</si>
  <si>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</si>
  <si>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</si>
  <si>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</si>
  <si>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</si>
  <si>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</si>
  <si>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</si>
  <si>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</si>
  <si>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</si>
  <si>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</si>
  <si>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</si>
  <si>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</si>
  <si>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</si>
  <si>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</si>
  <si>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</si>
  <si>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</si>
  <si>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</si>
  <si>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</si>
  <si>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</si>
  <si>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</si>
  <si>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</si>
  <si>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</si>
  <si>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</si>
  <si>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</si>
  <si>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</si>
  <si>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</si>
  <si>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</si>
  <si>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</si>
  <si>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</si>
  <si>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</si>
  <si>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</si>
  <si>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</si>
  <si>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</si>
  <si>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</si>
  <si>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</si>
  <si>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</si>
  <si>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</si>
  <si>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</si>
  <si>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</si>
  <si>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</si>
  <si>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</si>
  <si>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</si>
  <si>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</si>
  <si>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</si>
  <si>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</si>
  <si>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</si>
  <si>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</si>
  <si>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</si>
  <si>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</si>
  <si>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</si>
  <si>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</si>
  <si>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</si>
  <si>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</si>
  <si>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</si>
  <si>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</si>
  <si>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</si>
  <si>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</si>
  <si>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</si>
  <si>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</si>
  <si>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</si>
  <si>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</si>
  <si>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</si>
  <si>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</si>
  <si>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</si>
  <si>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</si>
  <si>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</si>
  <si>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</si>
  <si>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</si>
  <si>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</si>
  <si>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</si>
  <si>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</si>
  <si>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</si>
  <si>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</si>
  <si>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</si>
  <si>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</si>
  <si>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</si>
  <si>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</si>
  <si>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</si>
  <si>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</si>
  <si>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</si>
  <si>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</si>
  <si>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</si>
  <si>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</si>
  <si>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</si>
  <si>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</si>
  <si>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</si>
  <si>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</si>
  <si>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</si>
  <si>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</si>
  <si>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</si>
  <si>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</si>
  <si>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</si>
  <si>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</si>
  <si>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</si>
  <si>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</si>
  <si>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</si>
  <si>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</si>
  <si>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</si>
  <si>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</si>
  <si>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</si>
  <si>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</si>
  <si>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</si>
  <si>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</si>
  <si>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</si>
  <si>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</si>
  <si>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</si>
  <si>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</si>
  <si>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</si>
  <si>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</si>
  <si>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</si>
  <si>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</si>
  <si>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</si>
  <si>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</si>
  <si>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</si>
  <si>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</si>
  <si>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</si>
  <si>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</si>
  <si>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</si>
  <si>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</si>
  <si>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</si>
  <si>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</si>
  <si>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</si>
  <si>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</si>
  <si>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</si>
  <si>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</si>
  <si>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</si>
  <si>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</si>
  <si>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</si>
  <si>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</si>
  <si>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</si>
  <si>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</si>
  <si>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</si>
  <si>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</si>
  <si>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</si>
  <si>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</si>
  <si>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</si>
  <si>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</si>
  <si>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</si>
  <si>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</si>
  <si>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</si>
  <si>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</si>
  <si>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</si>
  <si>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</si>
  <si>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</si>
  <si>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</si>
  <si>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</si>
  <si>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</si>
  <si>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</si>
  <si>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</si>
  <si>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</si>
  <si>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</si>
  <si>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</si>
  <si>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</si>
  <si>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</si>
  <si>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</si>
  <si>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</si>
  <si>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</si>
  <si>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</si>
  <si>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</si>
  <si>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</si>
  <si>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</si>
  <si>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</si>
  <si>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</si>
  <si>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</si>
  <si>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</si>
  <si>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</si>
  <si>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</si>
  <si>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</si>
  <si>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</si>
  <si>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</si>
  <si>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</si>
  <si>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</si>
  <si>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</si>
  <si>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</si>
  <si>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</si>
  <si>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</si>
  <si>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</si>
  <si>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</si>
  <si>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</si>
  <si>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</si>
  <si>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</si>
  <si>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</si>
  <si>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</si>
  <si>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</si>
  <si>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</si>
  <si>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</si>
  <si>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</si>
  <si>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</si>
  <si>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</si>
  <si>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</si>
  <si>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</si>
  <si>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</si>
  <si>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</si>
  <si>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</si>
  <si>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</si>
  <si>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</si>
  <si>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</si>
  <si>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</si>
  <si>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</si>
  <si>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</si>
  <si>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</si>
  <si>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</si>
  <si>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</si>
  <si>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</si>
  <si>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</si>
  <si>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</si>
  <si>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</si>
  <si>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</si>
  <si>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</si>
  <si>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</si>
  <si>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</si>
  <si>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</si>
  <si>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</si>
  <si>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</si>
  <si>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</si>
  <si>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</si>
  <si>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</si>
  <si>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</si>
  <si>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</si>
  <si>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</si>
  <si>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</si>
  <si>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</si>
  <si>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</si>
  <si>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</si>
  <si>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</si>
  <si>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</si>
  <si>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</si>
  <si>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</si>
  <si>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</si>
  <si>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</si>
  <si>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</si>
  <si>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</si>
  <si>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</si>
  <si>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</si>
  <si>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</si>
  <si>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</si>
  <si>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</si>
  <si>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</si>
  <si>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</si>
  <si>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</si>
  <si>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</si>
  <si>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</si>
  <si>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</si>
  <si>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</si>
  <si>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</si>
  <si>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</si>
  <si>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</si>
  <si>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</si>
  <si>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</si>
  <si>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</si>
  <si>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</si>
  <si>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</si>
  <si>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</si>
  <si>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</si>
  <si>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</si>
  <si>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</si>
  <si>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</si>
  <si>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</si>
  <si>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</si>
  <si>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</si>
  <si>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</si>
  <si>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</si>
  <si>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</si>
  <si>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</si>
  <si>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</si>
  <si>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</si>
  <si>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</si>
  <si>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</si>
  <si>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</si>
  <si>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</si>
  <si>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</si>
  <si>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</si>
  <si>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</si>
  <si>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</si>
  <si>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</si>
  <si>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</si>
  <si>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</si>
  <si>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</si>
  <si>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</si>
  <si>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</si>
  <si>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</si>
  <si>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</si>
  <si>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</si>
  <si>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</si>
  <si>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</si>
  <si>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</si>
  <si>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</si>
  <si>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</si>
  <si>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</si>
  <si>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</si>
  <si>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</si>
  <si>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</si>
  <si>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</si>
  <si>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</si>
  <si>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</si>
  <si>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</si>
  <si>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</si>
  <si>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</si>
  <si>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</si>
  <si>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</si>
  <si>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</si>
  <si>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</si>
  <si>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</si>
  <si>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</si>
  <si>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</si>
  <si>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</si>
  <si>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</si>
  <si>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</si>
  <si>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</si>
  <si>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</si>
  <si>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</si>
  <si>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</si>
  <si>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</si>
  <si>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</si>
  <si>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</si>
  <si>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</si>
  <si>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</si>
  <si>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</si>
  <si>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</si>
  <si>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</si>
  <si>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</si>
  <si>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</si>
  <si>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</si>
  <si>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</si>
  <si>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</si>
  <si>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</si>
  <si>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</si>
  <si>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</si>
  <si>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</si>
  <si>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</si>
  <si>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</si>
  <si>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</si>
  <si>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</si>
  <si>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</si>
  <si>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</si>
  <si>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</si>
  <si>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</si>
  <si>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</si>
  <si>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</si>
  <si>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</si>
  <si>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</si>
  <si>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</si>
  <si>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</si>
  <si>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</si>
  <si>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</si>
  <si>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</si>
  <si>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</si>
  <si>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</si>
  <si>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</si>
  <si>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</si>
  <si>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</si>
  <si>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</si>
  <si>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</si>
  <si>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</si>
  <si>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</si>
  <si>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</si>
  <si>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</si>
  <si>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</si>
  <si>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</si>
  <si>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</si>
  <si>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</si>
  <si>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</si>
  <si>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</si>
  <si>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</si>
  <si>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</si>
  <si>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</si>
  <si>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</si>
  <si>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</si>
  <si>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</si>
  <si>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</si>
  <si>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</si>
  <si>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</si>
  <si>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</si>
  <si>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</si>
  <si>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</si>
  <si>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</si>
  <si>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</si>
  <si>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</si>
  <si>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</si>
  <si>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</si>
  <si>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</si>
  <si>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</si>
  <si>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</si>
  <si>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</si>
  <si>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</si>
  <si>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</si>
  <si>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</si>
  <si>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</si>
  <si>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</si>
  <si>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</si>
  <si>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</si>
  <si>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</si>
  <si>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</si>
  <si>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</si>
  <si>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</si>
  <si>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</si>
  <si>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</si>
  <si>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</si>
  <si>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</si>
  <si>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</si>
  <si>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</si>
  <si>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</si>
  <si>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</si>
  <si>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</si>
  <si>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</si>
  <si>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</si>
  <si>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</si>
  <si>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</si>
  <si>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</si>
  <si>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</si>
  <si>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</si>
  <si>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</si>
  <si>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</si>
  <si>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</si>
  <si>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</si>
  <si>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</si>
  <si>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</si>
  <si>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</si>
  <si>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</si>
  <si>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</si>
  <si>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</si>
  <si>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</si>
  <si>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</si>
  <si>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</si>
  <si>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</si>
  <si>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</si>
  <si>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</si>
  <si>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</si>
  <si>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</si>
  <si>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</si>
  <si>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</si>
  <si>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</si>
  <si>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</si>
  <si>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</si>
  <si>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</si>
  <si>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</si>
  <si>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</si>
  <si>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</si>
  <si>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</si>
  <si>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</si>
  <si>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</si>
  <si>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</si>
  <si>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</si>
  <si>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</si>
  <si>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</si>
  <si>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</si>
  <si>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</si>
  <si>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</si>
  <si>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</si>
  <si>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</si>
  <si>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</si>
  <si>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</si>
  <si>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</si>
  <si>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</si>
  <si>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</si>
  <si>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</si>
  <si>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</si>
  <si>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</si>
  <si>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</si>
  <si>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</si>
  <si>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</si>
  <si>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</si>
  <si>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</si>
  <si>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</si>
  <si>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</si>
  <si>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</si>
  <si>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</si>
  <si>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</si>
  <si>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</si>
  <si>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</si>
  <si>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</si>
  <si>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</si>
  <si>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</si>
  <si>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</si>
  <si>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</si>
  <si>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</si>
  <si>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</si>
  <si>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</si>
  <si>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</si>
  <si>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</si>
  <si>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</si>
  <si>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</si>
  <si>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</si>
  <si>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</si>
  <si>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</si>
  <si>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</si>
  <si>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</si>
  <si>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</si>
  <si>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</si>
  <si>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</si>
  <si>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</si>
  <si>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</si>
  <si>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</si>
  <si>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</si>
  <si>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</si>
  <si>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</si>
  <si>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</si>
  <si>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</si>
  <si>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</si>
  <si>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</si>
  <si>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</si>
  <si>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</si>
  <si>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</si>
  <si>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</si>
  <si>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</si>
  <si>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</si>
  <si>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</si>
  <si>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</si>
  <si>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</si>
  <si>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</si>
  <si>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</si>
  <si>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</si>
  <si>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</si>
  <si>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</si>
  <si>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</si>
  <si>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</si>
  <si>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</si>
  <si>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</si>
  <si>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</si>
  <si>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</si>
  <si>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</si>
  <si>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</si>
  <si>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</si>
  <si>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</si>
  <si>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</si>
  <si>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</si>
  <si>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</si>
  <si>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</si>
  <si>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</si>
  <si>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</si>
  <si>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</si>
  <si>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</si>
  <si>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</si>
  <si>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</si>
  <si>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</si>
  <si>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</si>
  <si>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</si>
  <si>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</si>
  <si>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</si>
  <si>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</si>
  <si>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</si>
  <si>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</si>
  <si>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</si>
  <si>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</si>
  <si>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</si>
  <si>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</si>
  <si>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</si>
  <si>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</si>
  <si>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</si>
  <si>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</si>
  <si>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</si>
  <si>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</si>
  <si>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</si>
  <si>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</si>
  <si>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</si>
  <si>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</si>
  <si>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</si>
  <si>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</si>
  <si>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</si>
  <si>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</si>
  <si>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</si>
  <si>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</si>
  <si>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</si>
  <si>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</si>
  <si>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</si>
  <si>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</si>
  <si>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</si>
  <si>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</si>
  <si>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</si>
  <si>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</si>
  <si>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</si>
  <si>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</si>
  <si>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</si>
  <si>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</si>
  <si>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</si>
  <si>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</si>
  <si>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</si>
  <si>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</si>
  <si>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</si>
  <si>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</si>
  <si>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</si>
  <si>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</si>
  <si>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</si>
  <si>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</si>
  <si>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</si>
  <si>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</si>
  <si>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</si>
  <si>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</si>
  <si>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</si>
  <si>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</si>
  <si>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</si>
  <si>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</si>
  <si>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</si>
  <si>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</si>
  <si>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</si>
  <si>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</si>
  <si>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</si>
  <si>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</si>
  <si>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</si>
  <si>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</si>
  <si>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</si>
  <si>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</si>
  <si>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</si>
  <si>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</si>
  <si>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</si>
  <si>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</si>
  <si>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</si>
  <si>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</si>
  <si>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</si>
  <si>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</si>
  <si>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</si>
  <si>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</si>
  <si>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</si>
  <si>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</si>
  <si>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</si>
  <si>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</si>
  <si>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</si>
  <si>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</si>
  <si>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</si>
  <si>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</si>
  <si>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</si>
  <si>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</si>
  <si>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</si>
  <si>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</si>
  <si>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</si>
  <si>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</si>
  <si>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</si>
  <si>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</si>
  <si>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</si>
  <si>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</si>
  <si>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</si>
  <si>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</si>
  <si>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</si>
  <si>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</si>
  <si>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</si>
  <si>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</si>
  <si>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</si>
  <si>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</si>
  <si>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</si>
  <si>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</si>
  <si>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</si>
  <si>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</si>
  <si>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</si>
  <si>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</si>
  <si>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</si>
  <si>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</si>
  <si>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</si>
  <si>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</si>
  <si>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</si>
  <si>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</si>
  <si>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</si>
  <si>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</si>
  <si>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</si>
  <si>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</si>
  <si>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</si>
  <si>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</si>
  <si>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</si>
  <si>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</si>
  <si>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</si>
  <si>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</si>
  <si>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</si>
  <si>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</si>
  <si>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</si>
  <si>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</si>
  <si>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</si>
  <si>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</si>
  <si>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</si>
  <si>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</si>
  <si>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</si>
  <si>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</si>
  <si>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</si>
  <si>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</si>
  <si>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</si>
  <si>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</si>
  <si>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</si>
  <si>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</si>
  <si>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</si>
  <si>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</si>
  <si>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</si>
  <si>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</si>
  <si>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</si>
  <si>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</si>
  <si>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</si>
  <si>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</si>
  <si>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</si>
  <si>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</si>
  <si>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</si>
  <si>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</si>
  <si>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</si>
  <si>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</si>
  <si>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</si>
  <si>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</si>
  <si>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</si>
  <si>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</si>
  <si>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</si>
  <si>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</si>
  <si>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</si>
  <si>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</si>
  <si>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</si>
  <si>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</si>
  <si>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</si>
  <si>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</si>
  <si>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</si>
  <si>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</si>
  <si>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</si>
  <si>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</si>
  <si>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</si>
  <si>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</si>
  <si>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</si>
  <si>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</si>
  <si>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</si>
  <si>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</si>
  <si>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</si>
  <si>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</si>
  <si>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</si>
  <si>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</si>
  <si>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</si>
  <si>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</si>
  <si>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</si>
  <si>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</si>
  <si>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</si>
  <si>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</si>
  <si>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</si>
  <si>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</si>
  <si>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</si>
  <si>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</si>
  <si>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</si>
  <si>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</si>
  <si>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</si>
  <si>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</si>
  <si>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</si>
  <si>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</si>
  <si>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</si>
  <si>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</si>
  <si>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</si>
  <si>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</si>
  <si>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</si>
  <si>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</si>
  <si>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</si>
  <si>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</si>
  <si>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</si>
  <si>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</si>
  <si>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</si>
  <si>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</si>
  <si>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</si>
  <si>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</si>
  <si>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</si>
  <si>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</si>
  <si>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</si>
  <si>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</si>
  <si>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</si>
  <si>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</si>
  <si>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</si>
  <si>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</si>
  <si>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</si>
  <si>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</si>
  <si>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</si>
  <si>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</si>
  <si>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</si>
  <si>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</si>
  <si>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</si>
  <si>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</si>
  <si>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</si>
  <si>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</si>
  <si>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</si>
  <si>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</si>
  <si>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</si>
  <si>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</si>
  <si>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</si>
  <si>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</si>
  <si>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</si>
  <si>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</si>
  <si>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</si>
  <si>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</si>
  <si>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</si>
  <si>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</si>
  <si>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</si>
  <si>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</si>
  <si>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</si>
  <si>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</si>
  <si>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</si>
  <si>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</si>
  <si>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</si>
  <si>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</si>
  <si>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</si>
  <si>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</si>
  <si>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</si>
  <si>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</si>
  <si>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</si>
  <si>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</si>
  <si>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</si>
  <si>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</si>
  <si>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</si>
  <si>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</si>
  <si>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</si>
  <si>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</si>
  <si>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</si>
  <si>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</si>
  <si>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</si>
  <si>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</si>
  <si>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</si>
  <si>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</si>
  <si>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</si>
  <si>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</si>
  <si>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</si>
  <si>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</si>
  <si>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</si>
  <si>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</si>
  <si>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</si>
  <si>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</si>
  <si>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</si>
  <si>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</si>
  <si>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</si>
  <si>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</si>
  <si>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</si>
  <si>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</si>
  <si>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</si>
  <si>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</si>
  <si>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</si>
  <si>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</si>
  <si>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</si>
  <si>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</si>
  <si>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</si>
  <si>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</si>
  <si>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</si>
  <si>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</si>
  <si>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</si>
  <si>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</si>
  <si>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</si>
  <si>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</si>
  <si>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</si>
  <si>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</si>
  <si>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</si>
  <si>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</si>
  <si>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</si>
  <si>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</si>
  <si>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</si>
  <si>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</si>
  <si>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</si>
  <si>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</si>
  <si>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</si>
  <si>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</si>
  <si>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</si>
  <si>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</si>
  <si>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</si>
  <si>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</si>
  <si>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</si>
  <si>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</si>
  <si>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</si>
  <si>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</si>
  <si>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</si>
  <si>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</si>
  <si>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</si>
  <si>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</si>
  <si>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</si>
  <si>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</si>
  <si>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</si>
  <si>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</si>
  <si>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</si>
  <si>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</si>
  <si>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</si>
  <si>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</si>
  <si>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</si>
  <si>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</si>
  <si>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</si>
  <si>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</si>
  <si>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</si>
  <si>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</si>
  <si>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</si>
  <si>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</si>
  <si>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</si>
  <si>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</si>
  <si>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</si>
  <si>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</si>
  <si>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</si>
  <si>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</si>
  <si>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</si>
  <si>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</si>
  <si>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</si>
  <si>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</si>
  <si>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</si>
  <si>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</si>
  <si>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</si>
  <si>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</si>
  <si>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</si>
  <si>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</si>
  <si>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</si>
  <si>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</si>
  <si>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</si>
  <si>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</si>
  <si>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</si>
  <si>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</si>
  <si>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</si>
  <si>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</si>
  <si>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</si>
  <si>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</si>
  <si>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</si>
  <si>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</si>
  <si>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</si>
  <si>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</si>
  <si>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</si>
  <si>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</si>
  <si>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</si>
  <si>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</si>
  <si>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</si>
  <si>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</si>
  <si>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</si>
  <si>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</si>
  <si>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</si>
  <si>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</si>
  <si>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</si>
  <si>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</si>
  <si>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</si>
  <si>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</si>
  <si>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</si>
  <si>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</si>
  <si>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</si>
  <si>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</si>
  <si>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</si>
  <si>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</si>
  <si>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</si>
  <si>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</si>
  <si>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</si>
  <si>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</si>
  <si>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</si>
  <si>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</si>
  <si>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</si>
  <si>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</si>
  <si>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</si>
  <si>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</si>
  <si>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</si>
  <si>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</si>
  <si>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</si>
  <si>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</si>
  <si>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</si>
  <si>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</si>
  <si>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</si>
  <si>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</si>
  <si>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</si>
  <si>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</si>
  <si>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</si>
  <si>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</si>
  <si>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</si>
  <si>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</si>
  <si>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</si>
  <si>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</si>
  <si>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</si>
  <si>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</si>
  <si>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</si>
  <si>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</si>
  <si>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</si>
  <si>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</si>
  <si>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</si>
  <si>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</si>
  <si>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</si>
  <si>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</si>
  <si>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</si>
  <si>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</si>
  <si>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</si>
  <si>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</si>
  <si>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</si>
  <si>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</si>
  <si>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</si>
  <si>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</si>
  <si>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</si>
  <si>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</si>
  <si>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</si>
  <si>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</si>
  <si>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</si>
  <si>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</si>
  <si>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</si>
  <si>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</si>
  <si>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</si>
  <si>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</si>
  <si>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</si>
  <si>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</si>
  <si>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</si>
  <si>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</si>
  <si>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</si>
  <si>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</si>
  <si>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</si>
  <si>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</si>
  <si>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</si>
  <si>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</si>
  <si>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</si>
  <si>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</si>
  <si>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</si>
  <si>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</si>
  <si>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</si>
  <si>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</si>
  <si>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</si>
  <si>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</si>
  <si>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</si>
  <si>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</si>
  <si>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</si>
  <si>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</si>
  <si>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</si>
  <si>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</si>
  <si>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</si>
  <si>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</si>
  <si>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</si>
  <si>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</si>
  <si>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</si>
  <si>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</si>
  <si>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</si>
  <si>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</si>
  <si>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</si>
  <si>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</si>
  <si>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</si>
  <si>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</si>
  <si>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</si>
  <si>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</si>
  <si>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</si>
  <si>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</si>
  <si>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</si>
  <si>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</si>
  <si>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</si>
  <si>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</si>
  <si>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</si>
  <si>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</si>
  <si>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</si>
  <si>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</si>
  <si>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</si>
  <si>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</si>
  <si>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</si>
  <si>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</si>
  <si>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</si>
  <si>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</si>
  <si>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</si>
  <si>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</si>
  <si>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</si>
  <si>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</si>
  <si>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</si>
  <si>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</si>
  <si>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</si>
  <si>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</si>
  <si>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</si>
  <si>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</si>
  <si>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</si>
  <si>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</si>
  <si>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</si>
  <si>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</si>
  <si>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</si>
  <si>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</si>
  <si>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</si>
  <si>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</si>
  <si>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</si>
  <si>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</si>
  <si>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</si>
  <si>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</si>
  <si>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</si>
  <si>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</si>
  <si>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</si>
  <si>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</si>
  <si>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</si>
  <si>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</si>
  <si>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</si>
  <si>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</si>
  <si>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</si>
  <si>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</si>
  <si>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</si>
  <si>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</si>
  <si>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</si>
  <si>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</si>
  <si>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</si>
  <si>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</si>
  <si>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</si>
  <si>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</si>
  <si>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</si>
  <si>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</si>
  <si>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</si>
  <si>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</si>
  <si>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</si>
  <si>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</si>
  <si>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</si>
  <si>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</si>
  <si>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</si>
  <si>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</si>
  <si>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</si>
  <si>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</si>
  <si>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</si>
  <si>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</si>
  <si>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</si>
  <si>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</si>
  <si>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</si>
  <si>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</si>
  <si>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</si>
  <si>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</si>
  <si>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</si>
  <si>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</si>
  <si>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</si>
  <si>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</si>
  <si>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</si>
  <si>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</si>
  <si>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</si>
  <si>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</si>
  <si>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</si>
  <si>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</si>
  <si>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</si>
  <si>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</si>
  <si>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</si>
  <si>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</si>
  <si>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</si>
  <si>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</si>
  <si>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</si>
  <si>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</si>
  <si>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</si>
  <si>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</si>
  <si>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</si>
  <si>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</si>
  <si>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</si>
  <si>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</si>
  <si>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</si>
  <si>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</si>
  <si>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</si>
  <si>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</si>
  <si>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</si>
  <si>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</si>
  <si>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</si>
  <si>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</si>
  <si>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</si>
  <si>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</si>
  <si>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</si>
  <si>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</si>
  <si>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</si>
  <si>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</si>
  <si>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</si>
  <si>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</si>
  <si>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</si>
  <si>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</si>
  <si>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</si>
  <si>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</si>
  <si>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</si>
  <si>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</si>
  <si>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</si>
  <si>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</si>
  <si>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</si>
  <si>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</si>
  <si>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</si>
  <si>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</si>
  <si>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</si>
  <si>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</si>
  <si>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</si>
  <si>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</si>
  <si>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</si>
  <si>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</si>
  <si>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</si>
  <si>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</si>
  <si>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</si>
  <si>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</si>
  <si>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</si>
  <si>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</si>
  <si>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</si>
  <si>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</si>
  <si>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</si>
  <si>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</si>
  <si>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</si>
  <si>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</si>
  <si>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</si>
  <si>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</si>
  <si>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</si>
  <si>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</si>
  <si>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</si>
  <si>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</si>
  <si>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</si>
  <si>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</si>
  <si>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</si>
  <si>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</si>
  <si>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</si>
  <si>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</si>
  <si>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</si>
  <si>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</si>
  <si>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</si>
  <si>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</si>
  <si>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</si>
  <si>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</si>
  <si>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</si>
  <si>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</si>
  <si>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</si>
  <si>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</si>
  <si>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</si>
  <si>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</si>
  <si>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</si>
  <si>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</si>
  <si>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</si>
  <si>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</si>
  <si>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</si>
  <si>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</si>
  <si>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</si>
  <si>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</si>
  <si>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</si>
  <si>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</si>
  <si>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</si>
  <si>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</si>
  <si>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</si>
  <si>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</si>
  <si>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</si>
  <si>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</si>
  <si>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</si>
  <si>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</si>
  <si>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</si>
  <si>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</si>
  <si>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</si>
  <si>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</si>
  <si>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</si>
  <si>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</si>
  <si>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</si>
  <si>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</si>
  <si>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</si>
  <si>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</si>
  <si>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</si>
  <si>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</si>
  <si>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</si>
  <si>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</si>
  <si>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</si>
  <si>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</si>
  <si>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</si>
  <si>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</si>
  <si>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</si>
  <si>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</si>
  <si>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</si>
  <si>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</si>
  <si>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</si>
  <si>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</si>
  <si>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</si>
  <si>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</si>
  <si>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</si>
  <si>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</si>
  <si>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</si>
  <si>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</si>
  <si>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</si>
  <si>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</si>
  <si>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</si>
  <si>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</si>
  <si>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</si>
  <si>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</si>
  <si>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</si>
  <si>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</si>
  <si>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</si>
  <si>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</si>
  <si>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</si>
  <si>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</si>
  <si>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</si>
  <si>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</si>
  <si>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</si>
  <si>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</si>
  <si>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</si>
  <si>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</si>
  <si>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</si>
  <si>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</si>
  <si>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</si>
  <si>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</si>
  <si>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</si>
  <si>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</si>
  <si>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</si>
  <si>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</si>
  <si>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</si>
  <si>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</si>
  <si>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</si>
  <si>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</si>
  <si>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</si>
  <si>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</si>
  <si>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</si>
  <si>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</si>
  <si>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</si>
  <si>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</si>
  <si>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</si>
  <si>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</si>
  <si>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</si>
  <si>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</si>
  <si>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</si>
  <si>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</si>
  <si>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</si>
  <si>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</si>
  <si>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</si>
  <si>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</si>
  <si>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</si>
  <si>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</si>
  <si>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</si>
  <si>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</si>
  <si>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</si>
  <si>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</si>
  <si>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</si>
  <si>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</si>
  <si>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</si>
  <si>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</si>
  <si>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</si>
  <si>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</si>
  <si>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</si>
  <si>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</si>
  <si>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</si>
  <si>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</si>
  <si>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</si>
  <si>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</si>
  <si>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</si>
  <si>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</si>
  <si>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</si>
  <si>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</si>
  <si>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</si>
  <si>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</si>
  <si>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</si>
  <si>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</si>
  <si>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</si>
  <si>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</si>
  <si>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</si>
  <si>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</si>
  <si>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</si>
  <si>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</si>
  <si>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</si>
  <si>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</si>
  <si>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</si>
  <si>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</si>
  <si>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</si>
  <si>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</si>
  <si>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</si>
  <si>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</si>
  <si>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</si>
  <si>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</si>
  <si>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</si>
  <si>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</si>
  <si>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</si>
  <si>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</si>
  <si>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</si>
  <si>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</si>
  <si>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</si>
  <si>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</si>
  <si>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</si>
  <si>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</si>
  <si>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</si>
  <si>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</si>
  <si>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</si>
  <si>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</si>
  <si>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</si>
  <si>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</si>
  <si>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</si>
  <si>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</si>
  <si>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</si>
  <si>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</si>
  <si>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</si>
  <si>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</si>
  <si>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</si>
  <si>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</si>
  <si>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</si>
  <si>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</si>
  <si>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</si>
  <si>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</si>
  <si>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</si>
  <si>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</si>
  <si>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</si>
  <si>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</si>
  <si>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</si>
  <si>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</si>
  <si>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</si>
  <si>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</si>
  <si>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</si>
  <si>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</si>
  <si>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</si>
  <si>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</si>
  <si>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</si>
  <si>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</si>
  <si>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</si>
  <si>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</si>
  <si>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</si>
  <si>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</si>
  <si>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</si>
  <si>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</si>
  <si>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</si>
  <si>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</si>
  <si>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</si>
  <si>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</si>
  <si>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</si>
  <si>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</si>
  <si>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</si>
  <si>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</si>
  <si>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</si>
  <si>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</si>
  <si>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</si>
  <si>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</si>
  <si>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</si>
  <si>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</si>
  <si>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</si>
  <si>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</si>
  <si>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</si>
  <si>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</si>
  <si>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</si>
  <si>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</si>
  <si>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</si>
  <si>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</si>
  <si>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</si>
  <si>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</si>
  <si>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</si>
  <si>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</si>
  <si>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</si>
  <si>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</si>
  <si>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</si>
  <si>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</si>
  <si>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</si>
  <si>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</si>
  <si>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</si>
  <si>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</si>
  <si>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</si>
  <si>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</si>
  <si>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</si>
  <si>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</si>
  <si>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</si>
  <si>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</si>
  <si>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</si>
  <si>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</si>
  <si>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</si>
  <si>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</si>
  <si>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</si>
  <si>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</si>
  <si>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</si>
  <si>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</si>
  <si>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</si>
  <si>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</si>
  <si>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</si>
  <si>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</si>
  <si>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</si>
  <si>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</si>
  <si>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</si>
  <si>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</si>
  <si>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</si>
  <si>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</si>
  <si>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</si>
  <si>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</si>
  <si>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</si>
  <si>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</si>
  <si>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</si>
  <si>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</si>
  <si>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</si>
  <si>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</si>
  <si>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</si>
  <si>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</si>
  <si>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</si>
  <si>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</si>
  <si>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</si>
  <si>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</si>
  <si>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</si>
  <si>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</si>
  <si>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</si>
  <si>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</si>
  <si>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</si>
  <si>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</si>
  <si>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</si>
  <si>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</si>
  <si>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</si>
  <si>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</si>
  <si>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</si>
  <si>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</si>
  <si>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</si>
  <si>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</si>
  <si>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</si>
  <si>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</si>
  <si>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</si>
  <si>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</si>
  <si>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</si>
  <si>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</si>
  <si>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</si>
  <si>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</si>
  <si>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</si>
  <si>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</si>
  <si>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</si>
  <si>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</si>
  <si>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</si>
  <si>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</si>
  <si>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</si>
  <si>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</si>
  <si>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</si>
  <si>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</si>
  <si>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</si>
  <si>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</si>
  <si>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</si>
  <si>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</si>
  <si>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</si>
  <si>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</si>
  <si>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</si>
  <si>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</si>
  <si>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</si>
  <si>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</si>
  <si>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</si>
  <si>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</si>
  <si>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</si>
  <si>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</si>
  <si>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</si>
  <si>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</si>
  <si>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</si>
  <si>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</si>
  <si>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</si>
  <si>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</si>
  <si>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</si>
  <si>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</si>
  <si>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</si>
  <si>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</si>
  <si>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</si>
  <si>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</si>
  <si>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</si>
  <si>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</si>
  <si>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</si>
  <si>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</si>
  <si>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</si>
  <si>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</si>
  <si>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</si>
  <si>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</si>
  <si>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</si>
  <si>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</si>
  <si>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</si>
  <si>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</si>
  <si>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</si>
  <si>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</si>
  <si>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</si>
  <si>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</si>
  <si>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</si>
  <si>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</si>
  <si>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</si>
  <si>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</si>
  <si>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</si>
  <si>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</si>
  <si>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</si>
  <si>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</si>
  <si>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</si>
  <si>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</si>
  <si>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</si>
  <si>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</si>
  <si>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</si>
  <si>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</si>
  <si>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</si>
  <si>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</si>
  <si>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</si>
  <si>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</si>
  <si>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</si>
  <si>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</si>
  <si>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</si>
  <si>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</si>
  <si>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</si>
  <si>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</si>
  <si>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</si>
  <si>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</si>
  <si>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</si>
  <si>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</si>
  <si>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</si>
  <si>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</si>
  <si>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</si>
  <si>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</si>
  <si>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</si>
  <si>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</si>
  <si>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</si>
  <si>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</si>
  <si>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</si>
  <si>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</si>
  <si>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</si>
  <si>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</si>
  <si>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</si>
  <si>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</si>
  <si>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</si>
  <si>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</si>
  <si>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</si>
  <si>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</si>
  <si>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</si>
  <si>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</si>
  <si>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</si>
  <si>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</si>
  <si>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</si>
  <si>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</si>
  <si>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</si>
  <si>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</si>
  <si>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</si>
  <si>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</si>
  <si>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</si>
  <si>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</si>
  <si>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</si>
  <si>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</si>
  <si>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</si>
  <si>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</si>
  <si>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</si>
  <si>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</si>
  <si>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</si>
  <si>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</si>
  <si>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</si>
  <si>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</si>
  <si>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</si>
  <si>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</si>
  <si>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</si>
  <si>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</si>
  <si>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</si>
  <si>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</si>
  <si>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</si>
  <si>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</si>
  <si>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</si>
  <si>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</si>
  <si>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</si>
  <si>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</si>
  <si>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</si>
  <si>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</si>
  <si>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</si>
  <si>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</si>
  <si>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</si>
  <si>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</si>
  <si>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</si>
  <si>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</si>
  <si>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</si>
  <si>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</si>
  <si>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</si>
  <si>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</si>
  <si>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</si>
  <si>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</si>
  <si>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</si>
  <si>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</si>
  <si>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</si>
  <si>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</si>
  <si>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</si>
  <si>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</si>
  <si>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</si>
  <si>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</si>
  <si>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</si>
  <si>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</si>
  <si>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</si>
  <si>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</si>
  <si>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</si>
  <si>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</si>
  <si>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</si>
  <si>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</si>
  <si>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</si>
  <si>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</si>
  <si>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</si>
  <si>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</si>
  <si>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</si>
  <si>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</si>
  <si>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</si>
  <si>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</si>
  <si>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</si>
  <si>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</si>
  <si>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</si>
  <si>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</si>
  <si>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</si>
  <si>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</si>
  <si>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</si>
  <si>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</si>
  <si>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</si>
  <si>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</si>
  <si>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</si>
  <si>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</si>
  <si>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</si>
  <si>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</si>
  <si>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</si>
  <si>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</si>
  <si>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</si>
  <si>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</si>
  <si>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</si>
  <si>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</si>
  <si>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</si>
  <si>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</si>
  <si>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</si>
  <si>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</si>
  <si>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</si>
  <si>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</si>
  <si>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</si>
  <si>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</si>
  <si>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</si>
  <si>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</si>
  <si>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</si>
  <si>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</si>
  <si>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</si>
  <si>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</si>
  <si>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</si>
  <si>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</si>
  <si>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</si>
  <si>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</si>
  <si>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</si>
  <si>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</si>
  <si>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</si>
  <si>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</si>
  <si>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</si>
  <si>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</si>
  <si>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</si>
  <si>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</si>
  <si>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</si>
  <si>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</si>
  <si>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</si>
  <si>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</si>
  <si>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</si>
  <si>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</si>
  <si>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</si>
  <si>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</si>
  <si>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</si>
  <si>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</si>
  <si>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</si>
  <si>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</si>
  <si>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</si>
  <si>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</si>
  <si>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</si>
  <si>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</si>
  <si>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</si>
  <si>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</si>
  <si>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</si>
  <si>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</si>
  <si>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</si>
  <si>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</si>
  <si>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</si>
  <si>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</si>
  <si>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</si>
  <si>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</si>
  <si>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</si>
  <si>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</si>
  <si>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</si>
  <si>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</si>
  <si>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</si>
  <si>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</si>
  <si>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</si>
  <si>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</si>
  <si>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</si>
  <si>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</si>
  <si>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</si>
  <si>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</si>
  <si>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</si>
  <si>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</si>
  <si>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</si>
  <si>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</si>
  <si>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</si>
  <si>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</si>
  <si>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</si>
  <si>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</si>
  <si>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</si>
  <si>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</si>
  <si>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</si>
  <si>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</si>
  <si>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</si>
  <si>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</si>
  <si>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</si>
  <si>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</si>
  <si>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</si>
  <si>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</si>
  <si>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</si>
  <si>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</si>
  <si>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</si>
  <si>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</si>
  <si>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</si>
  <si>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</si>
  <si>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</si>
  <si>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</si>
  <si>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</si>
  <si>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</si>
  <si>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</si>
  <si>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</si>
  <si>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</si>
  <si>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</si>
  <si>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</si>
  <si>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</si>
  <si>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</si>
  <si>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</si>
  <si>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</si>
  <si>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</si>
  <si>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</si>
  <si>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</si>
  <si>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</si>
  <si>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</si>
  <si>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</si>
  <si>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</si>
  <si>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</si>
  <si>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</si>
  <si>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</si>
  <si>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</si>
  <si>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</si>
  <si>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</si>
  <si>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</si>
  <si>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</si>
  <si>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</si>
  <si>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</si>
  <si>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</si>
  <si>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</si>
  <si>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</si>
  <si>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</si>
  <si>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</si>
  <si>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</si>
  <si>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</si>
  <si>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</si>
  <si>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</si>
  <si>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</si>
  <si>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</si>
  <si>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</si>
  <si>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</si>
  <si>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</si>
  <si>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</si>
  <si>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</si>
  <si>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</si>
  <si>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</si>
  <si>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</si>
  <si>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</si>
  <si>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</si>
  <si>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</si>
  <si>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</si>
  <si>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</si>
  <si>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</si>
  <si>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</si>
  <si>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</si>
  <si>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</si>
  <si>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</si>
  <si>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</si>
  <si>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</si>
  <si>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</si>
  <si>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</si>
  <si>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</si>
  <si>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</si>
  <si>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</si>
  <si>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</si>
  <si>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</si>
  <si>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</si>
  <si>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</si>
  <si>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</si>
  <si>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</si>
  <si>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</si>
  <si>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</si>
  <si>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</si>
  <si>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</si>
  <si>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</si>
  <si>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</si>
  <si>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</si>
  <si>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</si>
  <si>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</si>
  <si>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</si>
  <si>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</si>
  <si>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</si>
  <si>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</si>
  <si>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</si>
  <si>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</si>
  <si>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</si>
  <si>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</si>
  <si>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</si>
  <si>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</si>
  <si>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</si>
  <si>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</si>
  <si>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</si>
  <si>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</si>
  <si>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</si>
  <si>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</si>
  <si>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</si>
  <si>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</si>
  <si>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</si>
  <si>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</si>
  <si>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</si>
  <si>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</si>
  <si>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</si>
  <si>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</si>
  <si>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</si>
  <si>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</si>
  <si>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</si>
  <si>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</si>
  <si>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</si>
  <si>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</si>
  <si>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</si>
  <si>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</si>
  <si>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</si>
  <si>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</si>
  <si>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</si>
  <si>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</si>
  <si>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</si>
  <si>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</si>
  <si>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</si>
  <si>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</si>
  <si>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</si>
  <si>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</si>
  <si>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</si>
  <si>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</si>
  <si>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</si>
  <si>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</si>
  <si>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</si>
  <si>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</si>
  <si>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</si>
  <si>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</si>
  <si>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</si>
  <si>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</si>
  <si>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</si>
  <si>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</si>
  <si>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</si>
  <si>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</si>
  <si>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</si>
  <si>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</si>
  <si>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</si>
  <si>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</si>
  <si>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</si>
  <si>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</si>
  <si>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</si>
  <si>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</si>
  <si>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</si>
  <si>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</si>
  <si>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</si>
  <si>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</si>
  <si>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</si>
  <si>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</si>
  <si>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</si>
  <si>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</si>
  <si>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</si>
  <si>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</si>
  <si>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</si>
  <si>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</si>
  <si>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</si>
  <si>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</si>
  <si>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</si>
  <si>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</si>
  <si>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</si>
  <si>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</si>
  <si>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</si>
  <si>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</si>
  <si>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</si>
  <si>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</si>
  <si>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</si>
  <si>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</si>
  <si>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</si>
  <si>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</si>
  <si>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</si>
  <si>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</si>
  <si>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</si>
  <si>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</si>
  <si>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</si>
  <si>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</si>
  <si>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</si>
  <si>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</si>
  <si>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</si>
  <si>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</si>
  <si>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</si>
  <si>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</si>
  <si>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</si>
  <si>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</si>
  <si>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</si>
  <si>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</si>
  <si>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</si>
  <si>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</si>
  <si>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</si>
  <si>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</si>
  <si>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</si>
  <si>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</si>
  <si>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</si>
  <si>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</si>
  <si>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</si>
  <si>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</si>
  <si>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</si>
  <si>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</si>
  <si>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</si>
  <si>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</si>
  <si>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</si>
  <si>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</si>
  <si>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</si>
  <si>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</si>
  <si>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</si>
  <si>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</si>
  <si>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</si>
  <si>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</si>
  <si>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</si>
  <si>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</si>
  <si>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</si>
  <si>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</si>
  <si>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</si>
  <si>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</si>
  <si>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</si>
  <si>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</si>
  <si>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</si>
  <si>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</si>
  <si>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</si>
  <si>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</si>
  <si>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</si>
  <si>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</si>
  <si>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</si>
  <si>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</si>
  <si>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</si>
  <si>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</si>
  <si>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</si>
  <si>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</si>
  <si>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</si>
  <si>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</si>
  <si>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</si>
  <si>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</si>
  <si>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</si>
  <si>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</si>
  <si>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</si>
  <si>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</si>
  <si>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</si>
  <si>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</si>
  <si>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</si>
  <si>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</si>
  <si>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</si>
  <si>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</si>
  <si>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</si>
  <si>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</si>
  <si>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</si>
  <si>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</si>
  <si>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</si>
  <si>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</si>
  <si>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</si>
  <si>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</si>
  <si>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</si>
  <si>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</si>
  <si>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</si>
  <si>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</si>
  <si>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</si>
  <si>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</si>
  <si>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</si>
  <si>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</si>
  <si>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</si>
  <si>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</si>
  <si>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</si>
  <si>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</si>
  <si>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</si>
  <si>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</si>
  <si>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</si>
  <si>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</si>
  <si>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</si>
  <si>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</si>
  <si>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</si>
  <si>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</si>
  <si>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</si>
  <si>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</si>
  <si>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</si>
  <si>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</si>
  <si>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</si>
  <si>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</si>
  <si>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</si>
  <si>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</si>
  <si>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</si>
  <si>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</si>
  <si>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</si>
  <si>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</si>
  <si>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</si>
  <si>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</si>
  <si>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</si>
  <si>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</si>
  <si>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</si>
  <si>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</si>
  <si>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</si>
  <si>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</si>
  <si>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</si>
  <si>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</si>
  <si>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</si>
  <si>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</si>
  <si>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</si>
  <si>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</si>
  <si>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</si>
  <si>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</si>
  <si>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</si>
  <si>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</si>
  <si>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</si>
  <si>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</si>
  <si>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</si>
  <si>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</si>
  <si>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</si>
  <si>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</si>
  <si>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</si>
  <si>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</si>
  <si>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</si>
  <si>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</si>
  <si>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</si>
  <si>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</si>
  <si>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</si>
  <si>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</si>
  <si>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</si>
  <si>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</si>
  <si>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</si>
  <si>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</si>
  <si>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</si>
  <si>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</si>
  <si>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</si>
  <si>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</si>
  <si>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</si>
  <si>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</si>
  <si>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</si>
  <si>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</si>
  <si>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</si>
  <si>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</si>
  <si>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</si>
  <si>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</si>
  <si>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</si>
  <si>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</si>
  <si>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</si>
  <si>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</si>
  <si>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</si>
  <si>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</si>
  <si>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</si>
  <si>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</si>
  <si>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</si>
  <si>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</si>
  <si>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</si>
  <si>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</si>
  <si>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</si>
  <si>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</si>
  <si>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</si>
  <si>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</si>
  <si>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</si>
  <si>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</si>
  <si>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</si>
  <si>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</si>
  <si>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</si>
  <si>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</si>
  <si>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</si>
  <si>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</si>
  <si>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</si>
  <si>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</si>
  <si>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</si>
  <si>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</si>
  <si>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</si>
  <si>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</si>
  <si>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</si>
  <si>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</si>
  <si>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</si>
  <si>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</si>
  <si>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</si>
  <si>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</si>
  <si>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</si>
  <si>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</si>
  <si>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</si>
  <si>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</si>
  <si>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</si>
  <si>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</si>
  <si>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</si>
  <si>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</si>
  <si>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</si>
  <si>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</si>
  <si>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</si>
  <si>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</si>
  <si>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</si>
  <si>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</si>
  <si>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</si>
  <si>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</si>
  <si>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</si>
  <si>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</si>
  <si>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</si>
  <si>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</si>
  <si>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</si>
  <si>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</si>
  <si>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</si>
  <si>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</si>
  <si>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</si>
  <si>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</si>
  <si>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</si>
  <si>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</si>
  <si>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</si>
  <si>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</si>
  <si>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</si>
  <si>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</si>
  <si>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</si>
  <si>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</si>
  <si>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</si>
  <si>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</si>
  <si>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</si>
  <si>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</si>
  <si>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</si>
  <si>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</si>
  <si>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</si>
  <si>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</si>
  <si>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</si>
  <si>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</si>
  <si>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</si>
  <si>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</si>
  <si>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</si>
  <si>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</si>
  <si>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</si>
  <si>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</si>
  <si>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</si>
  <si>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</si>
  <si>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</si>
  <si>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</si>
  <si>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</si>
  <si>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</si>
  <si>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</si>
  <si>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</si>
  <si>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</si>
  <si>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</si>
  <si>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</si>
  <si>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</si>
  <si>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</si>
  <si>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</si>
  <si>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</si>
  <si>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</si>
  <si>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</si>
  <si>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</si>
  <si>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</si>
  <si>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</si>
  <si>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</si>
  <si>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</si>
  <si>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</si>
  <si>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</si>
  <si>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</si>
  <si>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</si>
  <si>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</si>
  <si>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</si>
  <si>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</si>
  <si>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</si>
  <si>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</si>
  <si>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</si>
  <si>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</si>
  <si>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</si>
  <si>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</si>
  <si>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</si>
  <si>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</si>
  <si>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</si>
  <si>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</si>
  <si>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</si>
  <si>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</si>
  <si>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</si>
  <si>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</si>
  <si>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</si>
  <si>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</si>
  <si>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</si>
  <si>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</si>
  <si>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</si>
  <si>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</si>
  <si>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</si>
  <si>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</si>
  <si>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</si>
  <si>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</si>
  <si>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</si>
  <si>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</si>
  <si>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</si>
  <si>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</si>
  <si>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</si>
  <si>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</si>
  <si>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</si>
  <si>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</si>
  <si>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</si>
  <si>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</si>
  <si>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</si>
  <si>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</si>
  <si>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</si>
  <si>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</si>
  <si>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</si>
  <si>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</si>
  <si>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</si>
  <si>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</si>
  <si>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</si>
  <si>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</si>
  <si>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</si>
  <si>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</si>
  <si>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</si>
  <si>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</si>
  <si>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</si>
  <si>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</si>
  <si>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</si>
  <si>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</si>
  <si>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</si>
  <si>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</si>
  <si>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</si>
  <si>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</si>
  <si>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</si>
  <si>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</si>
  <si>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</si>
  <si>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</si>
  <si>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</si>
  <si>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</si>
  <si>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</si>
  <si>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</si>
  <si>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</si>
  <si>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</si>
  <si>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</si>
  <si>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</si>
  <si>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</si>
  <si>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</si>
  <si>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</si>
  <si>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</si>
  <si>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</si>
  <si>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</si>
  <si>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</si>
  <si>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</si>
  <si>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</si>
  <si>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</si>
  <si>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</si>
  <si>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</si>
  <si>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</si>
  <si>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</si>
  <si>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</si>
  <si>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</si>
  <si>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</si>
  <si>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</si>
  <si>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</si>
  <si>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</si>
  <si>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</si>
  <si>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</si>
  <si>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</si>
  <si>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</si>
  <si>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</si>
  <si>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</si>
  <si>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</si>
  <si>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</si>
  <si>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</si>
  <si>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</si>
  <si>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</si>
  <si>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</si>
  <si>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</si>
  <si>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</si>
  <si>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</si>
  <si>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</si>
  <si>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</si>
  <si>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</si>
  <si>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</si>
  <si>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</si>
  <si>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</si>
  <si>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</si>
  <si>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</si>
  <si>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</si>
  <si>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</si>
  <si>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</si>
  <si>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</si>
  <si>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</si>
  <si>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</si>
  <si>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</si>
  <si>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</si>
  <si>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</si>
  <si>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</si>
  <si>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</si>
  <si>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</si>
  <si>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</si>
  <si>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</si>
  <si>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</si>
  <si>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</si>
  <si>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</si>
  <si>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</si>
  <si>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</si>
  <si>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</si>
  <si>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</si>
  <si>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</si>
  <si>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</si>
  <si>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</si>
  <si>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</si>
  <si>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</si>
  <si>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</si>
  <si>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</si>
  <si>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</si>
  <si>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</si>
  <si>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</si>
  <si>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</si>
  <si>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</si>
  <si>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</si>
  <si>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</si>
  <si>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</si>
  <si>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</si>
  <si>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</si>
  <si>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</si>
  <si>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</si>
  <si>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</si>
  <si>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</si>
  <si>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</si>
  <si>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</si>
  <si>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</si>
  <si>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</si>
  <si>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</si>
  <si>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</si>
  <si>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</si>
  <si>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</si>
  <si>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</si>
  <si>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</si>
  <si>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</si>
  <si>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</si>
  <si>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</si>
  <si>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</si>
  <si>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</si>
  <si>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</si>
  <si>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</si>
  <si>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</si>
  <si>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</si>
  <si>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</si>
  <si>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</si>
  <si>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</si>
  <si>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</si>
  <si>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</si>
  <si>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</si>
  <si>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</si>
  <si>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</si>
  <si>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</si>
  <si>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</si>
  <si>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</si>
  <si>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</si>
  <si>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</si>
  <si>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</si>
  <si>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</si>
  <si>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</si>
  <si>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</si>
  <si>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</si>
  <si>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</si>
  <si>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</si>
  <si>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</si>
  <si>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</si>
  <si>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</si>
  <si>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</si>
  <si>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</si>
  <si>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</si>
  <si>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</si>
  <si>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</si>
  <si>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</si>
  <si>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</si>
  <si>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</si>
  <si>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</si>
  <si>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</si>
  <si>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</si>
  <si>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</si>
  <si>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</si>
  <si>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</si>
  <si>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</si>
  <si>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</si>
  <si>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</si>
  <si>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</si>
  <si>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</si>
  <si>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</si>
  <si>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</si>
  <si>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</si>
  <si>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</si>
  <si>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</si>
  <si>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</si>
  <si>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</si>
  <si>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</si>
  <si>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</si>
  <si>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</si>
  <si>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</si>
  <si>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</si>
  <si>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</si>
  <si>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</si>
  <si>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</si>
  <si>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</si>
  <si>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</si>
  <si>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</si>
  <si>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</si>
  <si>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</si>
  <si>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</si>
  <si>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</si>
  <si>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</si>
  <si>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</si>
  <si>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</si>
  <si>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</si>
  <si>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</si>
  <si>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</si>
  <si>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</si>
  <si>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</si>
  <si>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</si>
  <si>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</si>
  <si>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</si>
  <si>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</si>
  <si>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</si>
  <si>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</si>
  <si>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</si>
  <si>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</si>
  <si>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</si>
  <si>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</si>
  <si>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</si>
  <si>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</si>
  <si>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</si>
  <si>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</si>
  <si>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</si>
  <si>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</si>
  <si>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</si>
  <si>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</si>
  <si>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</si>
  <si>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</si>
  <si>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</si>
  <si>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</si>
  <si>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</si>
  <si>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</si>
  <si>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</si>
  <si>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</si>
  <si>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</si>
  <si>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</si>
  <si>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</si>
  <si>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</si>
  <si>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</si>
  <si>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</si>
  <si>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</si>
  <si>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</si>
  <si>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</si>
  <si>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</si>
  <si>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</si>
  <si>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</si>
  <si>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</si>
  <si>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</si>
  <si>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</si>
  <si>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</si>
  <si>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</si>
  <si>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</si>
  <si>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</si>
  <si>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</si>
  <si>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</si>
  <si>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</si>
  <si>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</si>
  <si>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</si>
  <si>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</si>
  <si>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</si>
  <si>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</si>
  <si>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</si>
  <si>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</si>
  <si>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</si>
  <si>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</si>
  <si>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</si>
  <si>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</si>
  <si>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</si>
  <si>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</si>
  <si>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</si>
  <si>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</si>
  <si>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</si>
  <si>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</si>
  <si>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</si>
  <si>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</si>
  <si>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</si>
  <si>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</si>
  <si>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</si>
  <si>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</si>
  <si>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</si>
  <si>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</si>
  <si>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</si>
  <si>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</si>
  <si>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</si>
  <si>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</si>
  <si>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</si>
  <si>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</si>
  <si>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</si>
  <si>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</si>
  <si>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</si>
  <si>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</si>
  <si>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</si>
  <si>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</si>
  <si>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</si>
  <si>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</si>
  <si>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</si>
  <si>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</si>
  <si>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</si>
  <si>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</si>
  <si>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</si>
  <si>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</si>
  <si>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</si>
  <si>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</si>
  <si>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</si>
  <si>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</si>
  <si>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</si>
  <si>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</si>
  <si>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</si>
  <si>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</si>
  <si>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</si>
  <si>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</si>
  <si>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</si>
  <si>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</si>
  <si>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</si>
  <si>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</si>
  <si>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</si>
  <si>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</si>
  <si>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</si>
  <si>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</si>
  <si>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</si>
  <si>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</si>
  <si>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</si>
  <si>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</si>
  <si>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</si>
  <si>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</si>
  <si>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</si>
  <si>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</si>
  <si>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</si>
  <si>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</si>
  <si>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</si>
  <si>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</si>
  <si>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</si>
  <si>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</si>
  <si>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</si>
  <si>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</si>
  <si>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</si>
  <si>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</si>
  <si>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</si>
  <si>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</si>
  <si>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</si>
  <si>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</si>
  <si>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</si>
  <si>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</si>
  <si>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</si>
  <si>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</si>
  <si>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</si>
  <si>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</si>
  <si>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</si>
  <si>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</si>
  <si>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</si>
  <si>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</si>
  <si>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</si>
  <si>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</si>
  <si>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</si>
  <si>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</si>
  <si>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</si>
  <si>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</si>
  <si>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</si>
  <si>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</si>
  <si>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</si>
  <si>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</si>
  <si>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</si>
  <si>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</si>
  <si>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</si>
  <si>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</si>
  <si>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</si>
  <si>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</si>
  <si>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</si>
  <si>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</si>
  <si>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</si>
  <si>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</si>
  <si>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</si>
  <si>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</si>
  <si>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</si>
  <si>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</si>
  <si>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</si>
  <si>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</si>
  <si>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</si>
  <si>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</si>
  <si>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</si>
  <si>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</si>
  <si>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</si>
  <si>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</si>
  <si>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</si>
  <si>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</si>
  <si>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</si>
  <si>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</si>
  <si>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</si>
  <si>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</si>
  <si>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</si>
  <si>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</si>
  <si>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</si>
  <si>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</si>
  <si>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</si>
  <si>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</si>
  <si>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</si>
  <si>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</si>
  <si>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</si>
  <si>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</si>
  <si>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</si>
  <si>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</si>
  <si>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</si>
  <si>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</si>
  <si>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</si>
  <si>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</si>
  <si>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</si>
  <si>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</si>
  <si>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</si>
  <si>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</si>
  <si>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</si>
  <si>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</si>
  <si>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</si>
  <si>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</si>
  <si>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</si>
  <si>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</si>
  <si>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</si>
  <si>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</si>
  <si>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</si>
  <si>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</si>
  <si>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</si>
  <si>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</si>
  <si>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</si>
  <si>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</si>
  <si>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</si>
  <si>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</si>
  <si>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</si>
  <si>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</si>
  <si>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</si>
  <si>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</si>
  <si>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</si>
  <si>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</si>
  <si>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</si>
  <si>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</si>
  <si>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</si>
  <si>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</si>
  <si>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</si>
  <si>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</si>
  <si>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</si>
  <si>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</si>
  <si>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</si>
  <si>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</si>
  <si>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</si>
  <si>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</si>
  <si>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</si>
  <si>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</si>
  <si>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</si>
  <si>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</si>
  <si>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</si>
  <si>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</si>
  <si>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</si>
  <si>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</si>
  <si>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</si>
  <si>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</si>
  <si>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</si>
  <si>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</si>
  <si>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</si>
  <si>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</si>
  <si>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</si>
  <si>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</si>
  <si>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</si>
  <si>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</si>
  <si>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</si>
  <si>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</si>
  <si>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</si>
  <si>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</si>
  <si>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</si>
  <si>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</si>
  <si>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</si>
  <si>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</si>
  <si>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</si>
  <si>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</si>
  <si>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</si>
  <si>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</si>
  <si>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</si>
  <si>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</si>
  <si>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</si>
  <si>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</si>
  <si>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</si>
  <si>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</si>
  <si>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</si>
  <si>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</si>
  <si>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</si>
  <si>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</si>
  <si>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</si>
  <si>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</si>
  <si>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</si>
  <si>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</si>
  <si>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</si>
  <si>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</si>
  <si>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</si>
  <si>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</si>
  <si>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</si>
  <si>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</si>
  <si>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</si>
  <si>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</si>
  <si>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</si>
  <si>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</si>
  <si>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</si>
  <si>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</si>
  <si>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</si>
  <si>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</si>
  <si>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</si>
  <si>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</si>
  <si>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</si>
  <si>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</si>
  <si>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</si>
  <si>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</si>
  <si>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</si>
  <si>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</si>
  <si>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</si>
  <si>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</si>
  <si>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</si>
  <si>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</si>
  <si>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</si>
  <si>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</si>
  <si>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</si>
  <si>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</si>
  <si>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</si>
  <si>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</si>
  <si>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</si>
  <si>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</si>
  <si>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</si>
  <si>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</si>
  <si>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</si>
  <si>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</si>
  <si>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</si>
  <si>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</si>
  <si>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</si>
  <si>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</si>
  <si>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</si>
  <si>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</si>
  <si>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</si>
  <si>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</si>
  <si>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</si>
  <si>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</si>
  <si>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</si>
  <si>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</si>
  <si>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</si>
  <si>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</si>
  <si>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</si>
  <si>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</si>
  <si>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</si>
  <si>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</si>
  <si>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</si>
  <si>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</si>
  <si>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</si>
  <si>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</si>
  <si>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</si>
  <si>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</si>
  <si>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</si>
  <si>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</si>
  <si>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</si>
  <si>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</si>
  <si>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</si>
  <si>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</si>
  <si>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</si>
  <si>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</si>
  <si>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</si>
  <si>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</si>
  <si>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</si>
  <si>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</si>
  <si>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</si>
  <si>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</si>
  <si>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</si>
  <si>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</si>
  <si>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</si>
  <si>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</si>
  <si>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</si>
  <si>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</si>
  <si>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</si>
  <si>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</si>
  <si>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</si>
  <si>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</si>
  <si>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</si>
  <si>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</si>
  <si>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</si>
  <si>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</si>
  <si>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</si>
  <si>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</si>
  <si>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</si>
  <si>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</si>
  <si>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</si>
  <si>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</si>
  <si>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</si>
  <si>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</si>
  <si>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</si>
  <si>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</si>
  <si>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</si>
  <si>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</si>
  <si>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</si>
  <si>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</si>
  <si>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</si>
  <si>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</si>
  <si>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</si>
  <si>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</si>
  <si>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</si>
  <si>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</si>
  <si>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</si>
  <si>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</si>
  <si>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</si>
  <si>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</si>
  <si>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</si>
  <si>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</si>
  <si>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</si>
  <si>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</si>
  <si>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</si>
  <si>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</si>
  <si>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</si>
  <si>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</si>
  <si>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</si>
  <si>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</si>
  <si>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</si>
  <si>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</si>
  <si>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</si>
  <si>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</si>
  <si>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</si>
  <si>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</si>
  <si>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</si>
  <si>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</si>
  <si>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</si>
  <si>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</si>
  <si>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</si>
  <si>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</si>
  <si>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</si>
  <si>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</si>
  <si>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</si>
  <si>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</si>
  <si>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</si>
  <si>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</si>
  <si>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</si>
  <si>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</si>
  <si>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</si>
  <si>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</si>
  <si>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</si>
  <si>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</si>
  <si>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</si>
  <si>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</si>
  <si>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</si>
  <si>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</si>
  <si>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</si>
  <si>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</si>
  <si>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</si>
  <si>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</si>
  <si>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</si>
  <si>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</si>
  <si>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</si>
  <si>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</si>
  <si>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</si>
  <si>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</si>
  <si>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</si>
  <si>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</si>
  <si>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</si>
  <si>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</si>
  <si>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</si>
  <si>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</si>
  <si>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</si>
  <si>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</si>
  <si>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</si>
  <si>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</si>
  <si>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</si>
  <si>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</si>
  <si>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</si>
  <si>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</si>
  <si>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</si>
  <si>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</si>
  <si>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</si>
  <si>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</si>
  <si>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</si>
  <si>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</si>
  <si>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</si>
  <si>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</si>
  <si>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</si>
  <si>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</si>
  <si>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</si>
  <si>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</si>
  <si>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</si>
  <si>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</si>
  <si>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</si>
  <si>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</si>
  <si>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</si>
  <si>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</si>
  <si>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</si>
  <si>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</si>
  <si>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</si>
  <si>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</si>
  <si>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</si>
  <si>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</si>
  <si>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</si>
  <si>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</si>
  <si>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</si>
  <si>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</si>
  <si>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</si>
  <si>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</si>
  <si>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</si>
  <si>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</si>
  <si>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</si>
  <si>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</si>
  <si>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</si>
  <si>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</si>
  <si>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</si>
  <si>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</si>
  <si>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</si>
  <si>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</si>
  <si>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</si>
  <si>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</si>
  <si>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</si>
  <si>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</si>
  <si>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</si>
  <si>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</si>
  <si>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</si>
  <si>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</si>
  <si>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</si>
  <si>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</si>
  <si>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</si>
  <si>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</si>
  <si>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</si>
  <si>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</si>
  <si>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</si>
  <si>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</si>
  <si>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</si>
  <si>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</si>
  <si>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</si>
  <si>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</si>
  <si>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</si>
  <si>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</si>
  <si>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</si>
  <si>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</si>
  <si>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</si>
  <si>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</si>
  <si>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</si>
  <si>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</si>
  <si>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</si>
  <si>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</si>
  <si>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</si>
  <si>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</si>
  <si>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</si>
  <si>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</si>
  <si>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</si>
  <si>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</si>
  <si>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</si>
  <si>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</si>
  <si>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</si>
  <si>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</si>
  <si>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</si>
  <si>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</si>
  <si>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</si>
  <si>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</si>
  <si>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</si>
  <si>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</si>
  <si>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</si>
  <si>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</si>
  <si>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</si>
  <si>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</si>
  <si>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</si>
  <si>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</si>
  <si>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</si>
  <si>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</si>
  <si>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</si>
  <si>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</si>
  <si>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</si>
  <si>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</si>
  <si>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</si>
  <si>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</si>
  <si>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</si>
  <si>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</si>
  <si>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</si>
  <si>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</si>
  <si>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</si>
  <si>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</si>
  <si>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</si>
  <si>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</si>
  <si>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</si>
  <si>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</si>
  <si>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</si>
  <si>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</si>
  <si>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</si>
  <si>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</si>
  <si>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</si>
  <si>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</si>
  <si>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</si>
  <si>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</si>
  <si>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</si>
  <si>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</si>
  <si>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</si>
  <si>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</si>
  <si>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</si>
  <si>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</si>
  <si>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</si>
  <si>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</si>
  <si>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</si>
  <si>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</si>
  <si>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</si>
  <si>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</si>
  <si>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</si>
  <si>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</si>
  <si>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</si>
  <si>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</si>
  <si>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</si>
  <si>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</si>
  <si>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</si>
  <si>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</si>
  <si>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</si>
  <si>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</si>
  <si>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</si>
  <si>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</si>
  <si>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</si>
  <si>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</si>
  <si>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</si>
  <si>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</si>
  <si>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</si>
  <si>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</si>
  <si>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</si>
  <si>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</si>
  <si>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</si>
  <si>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</si>
  <si>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</si>
  <si>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</si>
  <si>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</si>
  <si>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</si>
  <si>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</si>
  <si>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</si>
  <si>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</si>
  <si>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</si>
  <si>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</si>
  <si>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</si>
  <si>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</si>
  <si>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</si>
  <si>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</si>
  <si>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</si>
  <si>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</si>
  <si>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</si>
  <si>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</si>
  <si>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</si>
  <si>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</si>
  <si>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</si>
  <si>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</si>
  <si>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</si>
  <si>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</si>
  <si>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</si>
  <si>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</si>
  <si>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</si>
  <si>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</si>
  <si>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</si>
  <si>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</si>
  <si>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</si>
  <si>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</si>
  <si>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</si>
  <si>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</si>
  <si>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</si>
  <si>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</si>
  <si>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</si>
  <si>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</si>
  <si>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</si>
  <si>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</si>
  <si>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</si>
  <si>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</si>
  <si>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</si>
  <si>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</si>
  <si>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</si>
  <si>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</si>
  <si>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</si>
  <si>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</si>
  <si>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</si>
  <si>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</si>
  <si>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</si>
  <si>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</si>
  <si>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</si>
  <si>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</si>
  <si>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</si>
  <si>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</si>
  <si>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</si>
  <si>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</si>
  <si>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</si>
  <si>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</si>
  <si>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</si>
  <si>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</si>
  <si>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</si>
  <si>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</si>
  <si>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</si>
  <si>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</si>
  <si>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</si>
  <si>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</si>
  <si>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</si>
  <si>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</si>
  <si>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</si>
  <si>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</si>
  <si>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</si>
  <si>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</si>
  <si>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</si>
  <si>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</si>
  <si>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</si>
  <si>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</si>
  <si>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</si>
  <si>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</si>
  <si>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</si>
  <si>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</si>
  <si>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</si>
  <si>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</si>
  <si>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</si>
  <si>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</si>
  <si>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</si>
  <si>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</si>
  <si>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</si>
  <si>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</si>
  <si>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</si>
  <si>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</si>
  <si>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</si>
  <si>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</si>
  <si>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</si>
  <si>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</si>
  <si>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</si>
  <si>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</si>
  <si>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</si>
  <si>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</si>
  <si>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</si>
  <si>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</si>
  <si>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</si>
  <si>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</si>
  <si>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</si>
  <si>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</si>
  <si>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</si>
  <si>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</si>
  <si>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</si>
  <si>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</si>
  <si>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</si>
  <si>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</si>
  <si>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</si>
  <si>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</si>
  <si>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</si>
  <si>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</si>
  <si>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</si>
  <si>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</si>
  <si>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</si>
  <si>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</si>
  <si>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</si>
  <si>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</si>
  <si>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</si>
  <si>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</si>
  <si>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</si>
  <si>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</si>
  <si>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</si>
  <si>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</si>
  <si>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</si>
  <si>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</si>
  <si>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</si>
  <si>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</si>
  <si>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</si>
  <si>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</si>
  <si>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</si>
  <si>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</si>
  <si>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</si>
  <si>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</si>
  <si>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</si>
  <si>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</si>
  <si>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</si>
  <si>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</si>
  <si>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</si>
  <si>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</si>
  <si>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</si>
  <si>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</si>
  <si>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</si>
  <si>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</si>
  <si>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</si>
  <si>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</si>
  <si>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</si>
  <si>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</si>
  <si>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</si>
  <si>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</si>
  <si>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</si>
  <si>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</si>
  <si>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</si>
  <si>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</si>
  <si>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</si>
  <si>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</si>
  <si>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</si>
  <si>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</si>
  <si>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</si>
  <si>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</si>
  <si>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</si>
  <si>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</si>
  <si>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</si>
  <si>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</si>
  <si>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</si>
  <si>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</si>
  <si>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</si>
  <si>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</si>
  <si>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</si>
  <si>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</si>
  <si>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</si>
  <si>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</si>
  <si>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</si>
  <si>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</si>
  <si>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</si>
  <si>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</si>
  <si>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</si>
  <si>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</si>
  <si>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</si>
  <si>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</si>
  <si>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</si>
  <si>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</si>
  <si>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</si>
  <si>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</si>
  <si>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</si>
  <si>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</si>
  <si>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</si>
  <si>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</si>
  <si>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</si>
  <si>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</si>
  <si>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</si>
  <si>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</si>
  <si>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</si>
  <si>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</si>
  <si>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</si>
  <si>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</si>
  <si>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</si>
  <si>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</si>
  <si>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</si>
  <si>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</si>
  <si>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</si>
  <si>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</si>
  <si>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</si>
  <si>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</si>
  <si>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</si>
  <si>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</si>
  <si>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</si>
  <si>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</si>
  <si>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</si>
  <si>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</si>
  <si>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</si>
  <si>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</si>
  <si>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</si>
  <si>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</si>
  <si>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</si>
  <si>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</si>
  <si>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</si>
  <si>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</si>
  <si>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</si>
  <si>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</si>
  <si>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</si>
  <si>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</si>
  <si>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</si>
  <si>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</si>
  <si>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</si>
  <si>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</si>
  <si>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</si>
  <si>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</si>
  <si>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</si>
  <si>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</si>
  <si>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</si>
  <si>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</si>
  <si>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</si>
  <si>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</si>
  <si>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</si>
  <si>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</si>
  <si>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</si>
  <si>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</si>
  <si>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</si>
  <si>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</si>
  <si>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</si>
  <si>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</si>
  <si>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</si>
  <si>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</si>
  <si>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</si>
  <si>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</si>
  <si>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</si>
  <si>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</si>
  <si>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</si>
  <si>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</si>
  <si>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</si>
  <si>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</si>
  <si>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</si>
  <si>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</si>
  <si>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</si>
  <si>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</si>
  <si>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</si>
  <si>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</si>
  <si>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</si>
  <si>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</si>
  <si>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</si>
  <si>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</si>
  <si>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</si>
  <si>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</si>
  <si>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</si>
  <si>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</si>
  <si>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</si>
  <si>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</si>
  <si>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</si>
  <si>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</si>
  <si>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</si>
  <si>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</si>
  <si>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</si>
  <si>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</si>
  <si>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</si>
  <si>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</si>
  <si>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</si>
  <si>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</si>
  <si>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</si>
  <si>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</si>
  <si>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</si>
  <si>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</si>
  <si>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</si>
  <si>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</si>
  <si>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</si>
  <si>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</si>
  <si>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</si>
  <si>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</si>
  <si>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</si>
  <si>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</si>
  <si>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</si>
  <si>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</si>
  <si>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</si>
  <si>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</si>
  <si>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</si>
  <si>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</si>
  <si>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</si>
  <si>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</si>
  <si>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</si>
  <si>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</si>
  <si>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</si>
  <si>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</si>
  <si>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</si>
  <si>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</si>
  <si>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</si>
  <si>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</si>
  <si>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</si>
  <si>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</si>
  <si>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</si>
  <si>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</si>
  <si>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</si>
  <si>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</si>
  <si>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</si>
  <si>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</si>
  <si>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</si>
  <si>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</si>
  <si>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</si>
  <si>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</si>
  <si>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</si>
  <si>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</si>
  <si>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</si>
  <si>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</si>
  <si>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</si>
  <si>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</si>
  <si>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</si>
  <si>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</si>
  <si>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</si>
  <si>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</si>
  <si>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</si>
  <si>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</si>
  <si>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</si>
  <si>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</si>
  <si>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</si>
  <si>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</si>
  <si>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</si>
  <si>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</si>
  <si>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</si>
  <si>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</si>
  <si>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</si>
  <si>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</si>
  <si>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</si>
  <si>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</si>
  <si>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</si>
  <si>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</si>
  <si>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</si>
  <si>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</si>
  <si>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</si>
  <si>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</si>
  <si>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</si>
  <si>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</si>
  <si>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</si>
  <si>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</si>
  <si>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</si>
  <si>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</si>
  <si>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</si>
  <si>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</si>
  <si>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</si>
  <si>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</si>
  <si>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</si>
  <si>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</si>
  <si>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</si>
  <si>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</si>
  <si>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</si>
  <si>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</si>
  <si>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</si>
  <si>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</si>
  <si>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</si>
  <si>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</si>
  <si>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</si>
  <si>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</si>
  <si>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</si>
  <si>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</si>
  <si>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</si>
  <si>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</si>
  <si>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</si>
  <si>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</si>
  <si>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</si>
  <si>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</si>
  <si>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</si>
  <si>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</si>
  <si>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</si>
  <si>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</si>
  <si>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</si>
  <si>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</si>
  <si>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</si>
  <si>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</si>
  <si>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</si>
  <si>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</si>
  <si>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</si>
  <si>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</si>
  <si>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</si>
  <si>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</si>
  <si>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</si>
  <si>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</si>
  <si>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</si>
  <si>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</si>
  <si>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</si>
  <si>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</si>
  <si>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</si>
  <si>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</si>
  <si>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</si>
  <si>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</si>
  <si>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</si>
  <si>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</si>
  <si>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</si>
  <si>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</si>
  <si>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</si>
  <si>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</si>
  <si>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</si>
  <si>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</si>
  <si>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</si>
  <si>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</si>
  <si>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</si>
  <si>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</si>
  <si>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</si>
  <si>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</si>
  <si>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</si>
  <si>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</si>
  <si>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</si>
  <si>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</si>
  <si>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</si>
  <si>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</si>
  <si>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</si>
  <si>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</si>
  <si>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</si>
  <si>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</si>
  <si>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</si>
  <si>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</si>
  <si>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</si>
  <si>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</si>
  <si>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</si>
  <si>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</si>
  <si>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</si>
  <si>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</si>
  <si>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</si>
  <si>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</si>
  <si>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</si>
  <si>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</si>
  <si>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</si>
  <si>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</si>
  <si>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</si>
  <si>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</si>
  <si>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</si>
  <si>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</si>
  <si>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</si>
  <si>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</si>
  <si>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</si>
  <si>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</si>
  <si>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</si>
  <si>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</si>
  <si>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</si>
  <si>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</si>
  <si>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</si>
  <si>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</si>
  <si>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</si>
  <si>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</si>
  <si>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</si>
  <si>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</si>
  <si>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</si>
  <si>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</si>
  <si>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</si>
  <si>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</si>
  <si>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</si>
  <si>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</si>
  <si>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</si>
  <si>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</si>
  <si>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</si>
  <si>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</si>
  <si>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</si>
  <si>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</si>
  <si>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</si>
  <si>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</si>
  <si>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</si>
  <si>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</si>
  <si>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</si>
  <si>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</si>
  <si>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</si>
  <si>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</si>
  <si>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</si>
  <si>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</si>
  <si>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</si>
  <si>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</si>
  <si>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</si>
  <si>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</si>
  <si>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</si>
  <si>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</si>
  <si>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</si>
  <si>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</si>
  <si>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</si>
  <si>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</si>
  <si>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</si>
  <si>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</si>
  <si>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</si>
  <si>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</si>
  <si>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</si>
  <si>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</si>
  <si>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</si>
  <si>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</si>
  <si>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</si>
  <si>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</si>
  <si>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</si>
  <si>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</si>
  <si>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</si>
  <si>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</si>
  <si>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</si>
  <si>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</si>
  <si>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</si>
  <si>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</si>
  <si>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</si>
  <si>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</si>
  <si>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</si>
  <si>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</si>
  <si>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</si>
  <si>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</si>
  <si>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</si>
  <si>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</si>
  <si>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</si>
  <si>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</si>
  <si>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</si>
  <si>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</si>
  <si>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</si>
  <si>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</si>
  <si>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</si>
  <si>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</si>
  <si>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</si>
  <si>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</si>
  <si>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</si>
  <si>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</si>
  <si>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</si>
  <si>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</si>
  <si>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</si>
  <si>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</si>
  <si>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</si>
  <si>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</si>
  <si>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</si>
  <si>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</si>
  <si>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</si>
  <si>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</si>
  <si>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</si>
  <si>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</si>
  <si>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</si>
  <si>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</si>
  <si>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</si>
  <si>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</si>
  <si>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</si>
  <si>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</si>
  <si>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</si>
  <si>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</si>
  <si>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</si>
  <si>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</si>
  <si>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</si>
  <si>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</si>
  <si>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</si>
  <si>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</si>
  <si>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</si>
  <si>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</si>
  <si>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</si>
  <si>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</si>
  <si>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</si>
  <si>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</si>
  <si>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</si>
  <si>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</si>
  <si>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</si>
  <si>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</si>
  <si>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</si>
  <si>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</si>
  <si>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</si>
  <si>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</si>
  <si>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</si>
  <si>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</si>
  <si>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</si>
  <si>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</si>
  <si>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</si>
  <si>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</si>
  <si>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</si>
  <si>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</si>
  <si>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</si>
  <si>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</si>
  <si>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</si>
  <si>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</si>
  <si>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</si>
  <si>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</si>
  <si>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</si>
  <si>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</si>
  <si>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</si>
  <si>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</si>
  <si>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</si>
  <si>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</si>
  <si>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</si>
  <si>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</si>
  <si>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</si>
  <si>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</si>
  <si>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</si>
  <si>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</si>
  <si>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</si>
  <si>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</si>
  <si>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</si>
  <si>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</si>
  <si>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</si>
  <si>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</si>
  <si>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</si>
  <si>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</si>
  <si>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</si>
  <si>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</si>
  <si>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</si>
  <si>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</si>
  <si>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</si>
  <si>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</si>
  <si>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</si>
  <si>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</si>
  <si>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</si>
  <si>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</si>
  <si>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</si>
  <si>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</si>
  <si>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</si>
  <si>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</si>
  <si>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</si>
  <si>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</si>
  <si>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</si>
  <si>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</si>
  <si>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</si>
  <si>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</si>
  <si>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</si>
  <si>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</si>
  <si>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</si>
  <si>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</si>
  <si>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</si>
  <si>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</si>
  <si>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</si>
  <si>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</si>
  <si>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</si>
  <si>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</si>
  <si>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</si>
  <si>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</si>
  <si>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</si>
  <si>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</si>
  <si>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</si>
  <si>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</si>
  <si>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</si>
  <si>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</si>
  <si>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</si>
  <si>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</si>
  <si>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</si>
  <si>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</si>
  <si>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</si>
  <si>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</si>
  <si>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</si>
  <si>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</si>
  <si>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</si>
  <si>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</si>
  <si>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</si>
  <si>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</si>
  <si>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</si>
  <si>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</si>
  <si>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</si>
  <si>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</si>
  <si>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</si>
  <si>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</si>
  <si>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</si>
  <si>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</si>
  <si>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</si>
  <si>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</si>
  <si>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</si>
  <si>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</si>
  <si>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</si>
  <si>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</si>
  <si>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</si>
  <si>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</si>
  <si>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</si>
  <si>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</si>
  <si>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</si>
  <si>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</si>
  <si>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</si>
  <si>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</si>
  <si>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</si>
  <si>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</si>
  <si>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</si>
  <si>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</si>
  <si>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</si>
  <si>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</si>
  <si>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</si>
  <si>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</si>
  <si>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</si>
  <si>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</si>
  <si>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</si>
  <si>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</si>
  <si>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</si>
  <si>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</si>
  <si>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</si>
  <si>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</si>
  <si>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</si>
  <si>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</si>
  <si>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</si>
  <si>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</si>
  <si>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</si>
  <si>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</si>
  <si>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</si>
  <si>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</si>
  <si>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</si>
  <si>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</si>
  <si>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</si>
  <si>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</si>
  <si>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</si>
  <si>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</si>
  <si>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</si>
  <si>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</si>
  <si>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</si>
  <si>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</si>
  <si>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</si>
  <si>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</si>
  <si>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</si>
  <si>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</si>
  <si>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</si>
  <si>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</si>
  <si>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</si>
  <si>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</si>
  <si>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</si>
  <si>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</si>
  <si>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</si>
  <si>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</si>
  <si>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</si>
  <si>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</si>
  <si>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</si>
  <si>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</si>
  <si>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</si>
  <si>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</si>
  <si>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</si>
  <si>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</si>
  <si>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</si>
  <si>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</si>
  <si>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</si>
  <si>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</si>
  <si>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</si>
  <si>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</si>
  <si>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</si>
  <si>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</si>
  <si>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</si>
  <si>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</si>
  <si>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</si>
  <si>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</si>
  <si>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</si>
  <si>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</si>
  <si>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</si>
  <si>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</si>
  <si>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</si>
  <si>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</si>
  <si>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</si>
  <si>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</si>
  <si>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</si>
  <si>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</si>
  <si>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</si>
  <si>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</si>
  <si>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</si>
  <si>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</si>
  <si>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</si>
  <si>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</si>
  <si>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</si>
  <si>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</si>
  <si>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</si>
  <si>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</si>
  <si>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</si>
  <si>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</si>
  <si>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</si>
  <si>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</si>
  <si>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</si>
  <si>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</si>
  <si>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</si>
  <si>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</si>
  <si>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</si>
  <si>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</si>
  <si>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</si>
  <si>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</si>
  <si>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</si>
  <si>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</si>
  <si>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</si>
  <si>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</si>
  <si>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</si>
  <si>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</si>
  <si>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</si>
  <si>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</si>
  <si>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</si>
  <si>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</si>
  <si>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</si>
  <si>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</si>
  <si>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</si>
  <si>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</si>
  <si>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</si>
  <si>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</si>
  <si>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</si>
  <si>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</si>
  <si>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</si>
  <si>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</si>
  <si>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</si>
  <si>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</si>
  <si>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</si>
  <si>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</si>
  <si>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</si>
  <si>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</si>
  <si>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</si>
  <si>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</si>
  <si>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</si>
  <si>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</si>
  <si>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</si>
  <si>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</si>
  <si>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</si>
  <si>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</si>
  <si>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</si>
  <si>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</si>
  <si>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</si>
  <si>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</si>
  <si>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</si>
  <si>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</si>
  <si>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</si>
  <si>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</si>
  <si>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</si>
  <si>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</si>
  <si>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</si>
  <si>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</si>
  <si>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</si>
  <si>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</si>
  <si>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</si>
  <si>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</si>
  <si>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</si>
  <si>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</si>
  <si>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</si>
  <si>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</si>
  <si>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</si>
  <si>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</si>
  <si>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</si>
  <si>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</si>
  <si>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</si>
  <si>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</si>
  <si>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</si>
  <si>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</si>
  <si>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</si>
  <si>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</si>
  <si>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</si>
  <si>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</si>
  <si>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</si>
  <si>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</si>
  <si>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</si>
  <si>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</si>
  <si>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</si>
  <si>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</si>
  <si>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</si>
  <si>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</si>
  <si>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</si>
  <si>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</si>
  <si>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</si>
  <si>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</si>
  <si>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</si>
  <si>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</si>
  <si>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</si>
  <si>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</si>
  <si>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</si>
  <si>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</si>
  <si>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</si>
  <si>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</si>
  <si>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</si>
  <si>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</si>
  <si>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</si>
  <si>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</si>
  <si>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</si>
  <si>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</si>
  <si>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</si>
  <si>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</si>
  <si>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</si>
  <si>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</si>
  <si>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</si>
  <si>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</si>
  <si>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</si>
  <si>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</si>
  <si>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</si>
  <si>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</si>
  <si>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</si>
  <si>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</si>
  <si>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</si>
  <si>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</si>
  <si>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</si>
  <si>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</si>
  <si>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</si>
  <si>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</si>
  <si>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</si>
  <si>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</si>
  <si>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</si>
  <si>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</si>
  <si>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</si>
  <si>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</si>
  <si>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</si>
  <si>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</si>
  <si>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</si>
  <si>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</si>
  <si>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</si>
  <si>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</si>
  <si>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</si>
  <si>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</si>
  <si>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</si>
  <si>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</si>
  <si>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</si>
  <si>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</si>
  <si>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</si>
  <si>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</si>
  <si>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</si>
  <si>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</si>
  <si>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</si>
  <si>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</si>
  <si>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</si>
  <si>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</si>
  <si>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</si>
  <si>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</si>
  <si>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</si>
  <si>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</si>
  <si>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</si>
  <si>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</si>
  <si>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</si>
  <si>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</si>
  <si>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</si>
  <si>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</si>
  <si>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</si>
  <si>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</si>
  <si>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</si>
  <si>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</si>
  <si>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</si>
  <si>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</si>
  <si>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</si>
  <si>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</si>
  <si>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</si>
  <si>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</si>
  <si>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</si>
  <si>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</si>
  <si>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</si>
  <si>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</si>
  <si>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</si>
  <si>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</si>
  <si>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</si>
  <si>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</si>
  <si>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</si>
  <si>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</si>
  <si>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</si>
  <si>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</si>
  <si>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</si>
  <si>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</si>
  <si>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</si>
  <si>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</si>
  <si>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</si>
  <si>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</si>
  <si>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</si>
  <si>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</si>
  <si>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</si>
  <si>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</si>
  <si>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</si>
  <si>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</si>
  <si>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</si>
  <si>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</si>
  <si>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</si>
  <si>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</si>
  <si>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</si>
  <si>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</si>
  <si>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</si>
  <si>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</si>
  <si>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</si>
  <si>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</si>
  <si>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</si>
  <si>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</si>
  <si>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</si>
  <si>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</si>
  <si>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</si>
  <si>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</si>
  <si>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</si>
  <si>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</si>
  <si>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</si>
  <si>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</si>
  <si>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</si>
  <si>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</si>
  <si>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</si>
  <si>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</si>
  <si>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</si>
  <si>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</si>
  <si>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</si>
  <si>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</si>
  <si>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</si>
  <si>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</si>
  <si>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</si>
  <si>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</si>
  <si>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</si>
  <si>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</si>
  <si>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</si>
  <si>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</si>
  <si>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</si>
  <si>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</si>
  <si>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</si>
  <si>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</si>
  <si>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</si>
  <si>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</si>
  <si>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</si>
  <si>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</si>
  <si>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</si>
  <si>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</si>
  <si>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</si>
  <si>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</si>
  <si>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</si>
  <si>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</si>
  <si>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</si>
  <si>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</si>
  <si>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</si>
  <si>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</si>
  <si>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</si>
  <si>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</si>
  <si>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</si>
  <si>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</si>
  <si>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</si>
  <si>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</si>
  <si>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</si>
  <si>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</si>
  <si>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</si>
  <si>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</si>
  <si>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</si>
  <si>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</si>
  <si>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</si>
  <si>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</si>
  <si>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</si>
  <si>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</si>
  <si>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</si>
  <si>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</si>
  <si>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</si>
  <si>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</si>
  <si>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</si>
  <si>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</si>
  <si>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</si>
  <si>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</si>
  <si>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</si>
  <si>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</si>
  <si>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</si>
  <si>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</si>
  <si>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</si>
  <si>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</si>
  <si>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</si>
  <si>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</si>
  <si>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</si>
  <si>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</si>
  <si>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</si>
  <si>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</si>
  <si>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</si>
  <si>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</si>
  <si>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</si>
  <si>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</si>
  <si>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</si>
  <si>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</si>
  <si>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</si>
  <si>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</si>
  <si>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</si>
  <si>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</si>
  <si>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</si>
  <si>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</si>
  <si>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</si>
  <si>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</si>
  <si>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</si>
  <si>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</si>
  <si>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</si>
  <si>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</si>
  <si>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</si>
  <si>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</si>
  <si>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</si>
  <si>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</si>
  <si>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</si>
  <si>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</si>
  <si>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</si>
  <si>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</si>
  <si>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</si>
  <si>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</si>
  <si>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</si>
  <si>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</si>
  <si>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</si>
  <si>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</si>
  <si>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</si>
  <si>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</si>
  <si>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</si>
  <si>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</si>
  <si>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</si>
  <si>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</si>
  <si>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</si>
  <si>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</si>
  <si>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</si>
  <si>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</si>
  <si>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</si>
  <si>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</si>
  <si>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</si>
  <si>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</si>
  <si>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</si>
  <si>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</si>
  <si>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</si>
  <si>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</si>
  <si>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</si>
  <si>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</si>
  <si>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</si>
  <si>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</si>
  <si>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</si>
  <si>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</si>
  <si>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</si>
  <si>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</si>
  <si>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</si>
  <si>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</si>
  <si>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</si>
  <si>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</si>
  <si>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</si>
  <si>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</si>
  <si>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</si>
  <si>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</si>
  <si>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</si>
  <si>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</si>
  <si>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</si>
  <si>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</si>
  <si>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</si>
  <si>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</si>
  <si>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</si>
  <si>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</si>
  <si>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</si>
  <si>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</si>
  <si>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</si>
  <si>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</si>
  <si>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</si>
  <si>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</si>
  <si>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</si>
  <si>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</si>
  <si>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</si>
  <si>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</si>
  <si>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</si>
  <si>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</si>
  <si>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</si>
  <si>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</si>
  <si>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</si>
  <si>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</si>
  <si>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</si>
  <si>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</si>
  <si>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</si>
  <si>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</si>
  <si>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</si>
  <si>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</si>
  <si>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</si>
  <si>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</si>
  <si>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</si>
  <si>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</si>
  <si>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</si>
  <si>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</si>
  <si>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</si>
  <si>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</si>
  <si>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</si>
  <si>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</si>
  <si>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</si>
  <si>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</si>
  <si>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</si>
  <si>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</si>
  <si>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</si>
  <si>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</si>
  <si>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</si>
  <si>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</si>
  <si>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</si>
  <si>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</si>
  <si>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</si>
  <si>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</si>
  <si>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</si>
  <si>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</si>
  <si>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</si>
  <si>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</si>
  <si>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</si>
  <si>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</si>
  <si>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</si>
  <si>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</si>
  <si>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</si>
  <si>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</si>
  <si>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</si>
  <si>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</si>
  <si>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</si>
  <si>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</si>
  <si>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</si>
  <si>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</si>
  <si>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</si>
  <si>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</si>
  <si>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</si>
  <si>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</si>
  <si>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</si>
  <si>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</si>
  <si>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</si>
  <si>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</si>
  <si>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</si>
  <si>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</si>
  <si>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</si>
  <si>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</si>
  <si>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</si>
  <si>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</si>
  <si>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</si>
  <si>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</si>
  <si>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</si>
  <si>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</si>
  <si>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</si>
  <si>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</si>
  <si>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</si>
  <si>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</si>
  <si>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</si>
  <si>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</si>
  <si>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</si>
  <si>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</si>
  <si>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</si>
  <si>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</si>
  <si>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</si>
  <si>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</si>
  <si>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</si>
  <si>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</si>
  <si>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</si>
  <si>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</si>
  <si>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</si>
  <si>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</si>
  <si>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</si>
  <si>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</si>
  <si>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</si>
  <si>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</si>
  <si>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</si>
  <si>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</si>
  <si>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</si>
  <si>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</si>
  <si>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</si>
  <si>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</si>
  <si>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</si>
  <si>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</si>
  <si>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</si>
  <si>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</si>
  <si>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</si>
  <si>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</si>
  <si>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</si>
  <si>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</si>
  <si>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</si>
  <si>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</si>
  <si>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</si>
  <si>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</si>
  <si>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</si>
  <si>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</si>
  <si>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</si>
  <si>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</si>
  <si>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</si>
  <si>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</si>
  <si>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</si>
  <si>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</si>
  <si>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</si>
  <si>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</si>
  <si>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</si>
  <si>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</si>
  <si>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</si>
  <si>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</si>
  <si>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</si>
  <si>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</si>
  <si>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</si>
  <si>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</si>
  <si>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</si>
  <si>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</si>
  <si>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</si>
  <si>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</si>
  <si>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</si>
  <si>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</si>
  <si>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</si>
  <si>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</si>
  <si>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</si>
  <si>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</si>
  <si>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</si>
  <si>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</si>
  <si>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</si>
  <si>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</si>
  <si>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</si>
  <si>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</si>
  <si>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</si>
  <si>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</si>
  <si>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</si>
  <si>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</si>
  <si>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</si>
  <si>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</si>
  <si>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</si>
  <si>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</si>
  <si>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</si>
  <si>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</si>
  <si>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</si>
  <si>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</si>
  <si>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</si>
  <si>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</si>
  <si>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</si>
  <si>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</si>
  <si>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</si>
  <si>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</si>
  <si>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</si>
  <si>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</si>
  <si>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</si>
  <si>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</si>
  <si>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</si>
  <si>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</si>
  <si>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</si>
  <si>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</si>
  <si>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</si>
  <si>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</si>
  <si>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</si>
  <si>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</si>
  <si>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</si>
  <si>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</si>
  <si>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</si>
  <si>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</si>
  <si>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</si>
  <si>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</si>
  <si>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</si>
  <si>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</si>
  <si>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</si>
  <si>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</si>
  <si>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</si>
  <si>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</si>
  <si>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</si>
  <si>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</si>
  <si>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</si>
  <si>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</si>
  <si>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</si>
  <si>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</si>
  <si>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</si>
  <si>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</si>
  <si>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</si>
  <si>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</si>
  <si>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</si>
  <si>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</si>
  <si>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</si>
  <si>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</si>
  <si>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</si>
  <si>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</si>
  <si>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</si>
  <si>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</si>
  <si>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</si>
  <si>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</si>
  <si>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</si>
  <si>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</si>
  <si>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</si>
  <si>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</si>
  <si>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</si>
  <si>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</si>
  <si>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</si>
  <si>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</si>
  <si>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</si>
  <si>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</si>
  <si>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</si>
  <si>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</si>
  <si>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</si>
  <si>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</si>
  <si>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</si>
  <si>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</si>
  <si>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</si>
  <si>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</si>
  <si>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</si>
  <si>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</si>
  <si>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</si>
  <si>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</si>
  <si>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</si>
  <si>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</si>
  <si>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</si>
  <si>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</si>
  <si>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</si>
  <si>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</si>
  <si>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</si>
  <si>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</si>
  <si>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</si>
  <si>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</si>
  <si>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</si>
  <si>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</si>
  <si>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</si>
  <si>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</si>
  <si>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</si>
  <si>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</si>
  <si>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</si>
  <si>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</si>
  <si>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</si>
  <si>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</si>
  <si>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</si>
  <si>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</si>
  <si>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</si>
  <si>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</si>
  <si>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</si>
  <si>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</si>
  <si>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</si>
  <si>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</si>
  <si>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</si>
  <si>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</si>
  <si>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</si>
  <si>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</si>
  <si>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</si>
  <si>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</si>
  <si>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</si>
  <si>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</si>
  <si>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</si>
  <si>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</si>
  <si>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</si>
  <si>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</si>
  <si>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</si>
  <si>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</si>
  <si>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</si>
  <si>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</si>
  <si>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</si>
  <si>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</si>
  <si>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</si>
  <si>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</si>
  <si>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</si>
  <si>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</si>
  <si>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</si>
  <si>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</si>
  <si>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</si>
  <si>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</si>
  <si>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</si>
  <si>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</si>
  <si>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</si>
  <si>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</si>
  <si>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</si>
  <si>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</si>
  <si>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</si>
  <si>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</si>
  <si>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</si>
  <si>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</si>
  <si>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</si>
  <si>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</si>
  <si>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</si>
  <si>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</si>
  <si>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</si>
  <si>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</si>
  <si>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</si>
  <si>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</si>
  <si>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</si>
  <si>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</si>
  <si>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</si>
  <si>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</si>
  <si>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</si>
  <si>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</si>
  <si>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</si>
  <si>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</si>
  <si>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</si>
  <si>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</si>
  <si>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</si>
  <si>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</si>
  <si>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</si>
  <si>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</si>
  <si>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</si>
  <si>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</si>
  <si>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</si>
  <si>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</si>
  <si>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</si>
  <si>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</si>
  <si>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</si>
  <si>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</si>
  <si>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</si>
  <si>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</si>
  <si>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</si>
  <si>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</si>
  <si>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</si>
  <si>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</si>
  <si>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</si>
  <si>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</si>
  <si>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</si>
  <si>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</si>
  <si>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</si>
  <si>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</si>
  <si>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</si>
  <si>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</si>
  <si>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</si>
  <si>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</si>
  <si>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</si>
  <si>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</si>
  <si>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</si>
  <si>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</si>
  <si>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</si>
  <si>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</si>
  <si>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</si>
  <si>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</si>
  <si>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</si>
  <si>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</si>
  <si>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</si>
  <si>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</si>
  <si>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</si>
  <si>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</si>
  <si>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</si>
  <si>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</si>
  <si>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</si>
  <si>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</si>
  <si>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</si>
  <si>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</si>
  <si>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</si>
  <si>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</si>
  <si>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</si>
  <si>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</si>
  <si>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</si>
  <si>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</si>
  <si>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</si>
  <si>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</si>
  <si>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</si>
  <si>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</si>
  <si>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</si>
  <si>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</si>
  <si>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</si>
  <si>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</si>
  <si>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</si>
  <si>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</si>
  <si>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</si>
  <si>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</si>
  <si>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</si>
  <si>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</si>
  <si>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</si>
  <si>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</si>
  <si>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</si>
  <si>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</si>
  <si>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</si>
  <si>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</si>
  <si>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</si>
  <si>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</si>
  <si>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</si>
  <si>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</si>
  <si>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</si>
  <si>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</si>
  <si>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</si>
  <si>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</si>
  <si>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</si>
  <si>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</si>
  <si>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</si>
  <si>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</si>
  <si>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</si>
  <si>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</si>
  <si>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</si>
  <si>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</si>
  <si>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</si>
  <si>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</si>
  <si>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</si>
  <si>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</si>
  <si>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</si>
  <si>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</si>
  <si>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</si>
  <si>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</si>
  <si>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</si>
  <si>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</si>
  <si>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</si>
  <si>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</si>
  <si>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</si>
  <si>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</si>
  <si>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</si>
  <si>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</si>
  <si>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</si>
  <si>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</si>
  <si>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</si>
  <si>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</si>
  <si>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</si>
  <si>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</si>
  <si>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</si>
  <si>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</si>
  <si>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</si>
  <si>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</si>
  <si>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</si>
  <si>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</si>
  <si>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</si>
  <si>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</si>
  <si>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</si>
  <si>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</si>
  <si>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</si>
  <si>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</si>
  <si>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</si>
  <si>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</si>
  <si>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</si>
  <si>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</si>
  <si>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</si>
  <si>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</si>
  <si>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</si>
  <si>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</si>
  <si>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</si>
  <si>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</si>
  <si>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</si>
  <si>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</si>
  <si>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</si>
  <si>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</si>
  <si>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</si>
  <si>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</si>
  <si>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</si>
  <si>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</si>
  <si>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</si>
  <si>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</si>
  <si>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</si>
  <si>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</si>
  <si>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</si>
  <si>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</si>
  <si>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</si>
  <si>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</si>
  <si>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</si>
  <si>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</si>
  <si>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</si>
  <si>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</si>
  <si>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</si>
  <si>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</si>
  <si>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</si>
  <si>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</si>
  <si>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</si>
  <si>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</si>
  <si>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</si>
  <si>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</si>
  <si>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</si>
  <si>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</si>
  <si>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</si>
  <si>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</si>
  <si>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</si>
  <si>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</si>
  <si>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</si>
  <si>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</si>
  <si>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</si>
  <si>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</si>
  <si>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</si>
  <si>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</si>
  <si>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</si>
  <si>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</si>
  <si>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</si>
  <si>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</si>
  <si>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</si>
  <si>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</si>
  <si>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</si>
  <si>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</si>
  <si>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</si>
  <si>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</si>
  <si>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</si>
  <si>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</si>
  <si>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</si>
  <si>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</si>
  <si>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</si>
  <si>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</si>
  <si>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</si>
  <si>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</si>
  <si>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</si>
  <si>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</si>
  <si>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</si>
  <si>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</si>
  <si>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</si>
  <si>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</si>
  <si>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</si>
  <si>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</si>
  <si>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</si>
  <si>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</si>
  <si>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</si>
  <si>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</si>
  <si>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</si>
  <si>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</si>
  <si>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</si>
  <si>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</si>
  <si>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</si>
  <si>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</si>
  <si>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</si>
  <si>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</si>
  <si>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</si>
  <si>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</si>
  <si>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</si>
  <si>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</si>
  <si>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</si>
  <si>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</si>
  <si>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</si>
  <si>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</si>
  <si>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</si>
  <si>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</si>
  <si>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</si>
  <si>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</si>
  <si>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</si>
  <si>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</si>
  <si>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</si>
  <si>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</si>
  <si>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</si>
  <si>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</si>
  <si>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</si>
  <si>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</si>
  <si>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</si>
  <si>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</si>
  <si>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</si>
  <si>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</si>
  <si>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</si>
  <si>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</si>
  <si>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</si>
  <si>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</si>
  <si>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</si>
  <si>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</si>
  <si>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</si>
  <si>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</si>
  <si>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</si>
  <si>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</si>
  <si>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</si>
  <si>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</si>
  <si>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</si>
  <si>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</si>
  <si>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</si>
  <si>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</si>
  <si>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</si>
  <si>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</si>
  <si>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</si>
  <si>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</si>
  <si>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</si>
  <si>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</si>
  <si>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</si>
  <si>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</si>
  <si>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</si>
  <si>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</si>
  <si>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</si>
  <si>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</si>
  <si>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</si>
  <si>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</si>
  <si>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</si>
  <si>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</si>
  <si>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</si>
  <si>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</si>
  <si>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</si>
  <si>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</si>
  <si>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</si>
  <si>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</si>
  <si>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</si>
  <si>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</si>
  <si>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</si>
  <si>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</si>
  <si>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</si>
  <si>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</si>
  <si>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</si>
  <si>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</si>
  <si>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</si>
  <si>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</si>
  <si>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</si>
  <si>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</si>
  <si>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</si>
  <si>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</si>
  <si>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</si>
  <si>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</si>
  <si>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</si>
  <si>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</si>
  <si>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</si>
  <si>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</si>
  <si>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</si>
  <si>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</si>
  <si>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</si>
  <si>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</si>
  <si>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</si>
  <si>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</si>
  <si>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</si>
  <si>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</si>
  <si>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</si>
  <si>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</si>
  <si>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</si>
  <si>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</si>
  <si>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</si>
  <si>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</si>
  <si>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</si>
  <si>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</si>
  <si>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</si>
  <si>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</si>
  <si>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</si>
  <si>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</si>
  <si>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</si>
  <si>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</si>
  <si>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</si>
  <si>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</si>
  <si>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</si>
  <si>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</si>
  <si>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</si>
  <si>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</si>
  <si>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</si>
  <si>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</si>
  <si>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</si>
  <si>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</si>
  <si>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</si>
  <si>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</si>
  <si>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</si>
  <si>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</si>
  <si>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</si>
  <si>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</si>
  <si>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</si>
  <si>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</si>
  <si>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</si>
  <si>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</si>
  <si>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</si>
  <si>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</si>
  <si>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</si>
  <si>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</si>
  <si>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</si>
  <si>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</si>
  <si>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</si>
  <si>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</si>
  <si>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</si>
  <si>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</si>
  <si>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</si>
  <si>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</si>
  <si>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</si>
  <si>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</si>
  <si>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</si>
  <si>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</si>
  <si>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</si>
  <si>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</si>
  <si>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</si>
  <si>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</si>
  <si>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</si>
  <si>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</si>
  <si>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</si>
  <si>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</si>
  <si>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</si>
  <si>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</si>
  <si>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</si>
  <si>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</si>
  <si>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</si>
  <si>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</si>
  <si>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</si>
  <si>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</si>
  <si>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</si>
  <si>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</si>
  <si>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</si>
  <si>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</si>
  <si>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</si>
  <si>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</si>
  <si>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</si>
  <si>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</si>
  <si>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</si>
  <si>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</si>
  <si>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</si>
  <si>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</si>
  <si>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</si>
  <si>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</si>
  <si>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</si>
  <si>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</si>
  <si>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</si>
  <si>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</si>
  <si>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</si>
  <si>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</si>
  <si>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</si>
  <si>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</si>
  <si>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</si>
  <si>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</si>
  <si>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</si>
  <si>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</si>
  <si>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</si>
  <si>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</si>
  <si>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</si>
  <si>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</si>
  <si>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</si>
  <si>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</si>
  <si>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</si>
  <si>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</si>
  <si>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</si>
  <si>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</si>
  <si>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</si>
  <si>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</si>
  <si>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</si>
  <si>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</si>
  <si>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</si>
  <si>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</si>
  <si>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</si>
  <si>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</si>
  <si>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</si>
  <si>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</si>
  <si>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</si>
  <si>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</si>
  <si>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</si>
  <si>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</si>
  <si>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</si>
  <si>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</si>
  <si>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</si>
  <si>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</si>
  <si>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</si>
  <si>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</si>
  <si>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</si>
  <si>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</si>
  <si>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</si>
  <si>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</si>
  <si>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</si>
  <si>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</si>
  <si>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</si>
  <si>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</si>
  <si>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</si>
  <si>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</si>
  <si>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</si>
  <si>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</si>
  <si>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</si>
  <si>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</si>
  <si>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</si>
  <si>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</si>
  <si>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</si>
  <si>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</si>
  <si>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</si>
  <si>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</si>
  <si>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</si>
  <si>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</si>
  <si>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</si>
  <si>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</si>
  <si>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</si>
  <si>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</si>
  <si>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</si>
  <si>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</si>
  <si>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</si>
  <si>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</si>
  <si>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</si>
  <si>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</si>
  <si>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</si>
  <si>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</si>
  <si>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</si>
  <si>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</si>
  <si>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</si>
  <si>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</si>
  <si>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</si>
  <si>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</si>
  <si>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</si>
  <si>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</si>
  <si>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</si>
  <si>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</si>
  <si>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</si>
  <si>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</si>
  <si>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</si>
  <si>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</si>
  <si>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</si>
  <si>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</si>
  <si>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</si>
  <si>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</si>
  <si>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</si>
  <si>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</si>
  <si>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</si>
  <si>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</si>
  <si>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</si>
  <si>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</si>
  <si>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</si>
  <si>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</si>
  <si>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</si>
  <si>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</si>
  <si>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</si>
  <si>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</si>
  <si>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</si>
  <si>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</si>
  <si>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</si>
  <si>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</si>
  <si>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</si>
  <si>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</si>
  <si>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</si>
  <si>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</si>
  <si>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</si>
  <si>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</si>
  <si>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</si>
  <si>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</si>
  <si>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</si>
  <si>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</si>
  <si>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</si>
  <si>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</si>
  <si>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</si>
  <si>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</si>
  <si>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</si>
  <si>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</si>
  <si>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</si>
  <si>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</si>
  <si>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</si>
  <si>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</si>
  <si>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</si>
  <si>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</si>
  <si>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</si>
  <si>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</si>
  <si>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</si>
  <si>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</si>
  <si>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</si>
  <si>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</si>
  <si>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</si>
  <si>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</si>
  <si>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</si>
  <si>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</si>
  <si>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</si>
  <si>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</si>
  <si>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</si>
  <si>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</si>
  <si>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</si>
  <si>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</si>
  <si>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</si>
  <si>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</si>
  <si>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</si>
  <si>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</si>
  <si>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</si>
  <si>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</si>
  <si>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</si>
  <si>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</si>
  <si>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</si>
  <si>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</si>
  <si>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</si>
  <si>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</si>
  <si>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</si>
  <si>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</si>
  <si>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</si>
  <si>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</si>
  <si>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</si>
  <si>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</si>
  <si>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</si>
  <si>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</si>
  <si>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</si>
  <si>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</si>
  <si>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</si>
  <si>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</si>
  <si>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</si>
  <si>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</si>
  <si>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</si>
  <si>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</si>
  <si>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</si>
  <si>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</si>
  <si>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</si>
  <si>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</si>
  <si>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</si>
  <si>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</si>
  <si>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</si>
  <si>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</si>
  <si>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</si>
  <si>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</si>
  <si>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</si>
  <si>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</si>
  <si>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</si>
  <si>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</si>
  <si>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</si>
  <si>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</si>
  <si>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</si>
  <si>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</si>
  <si>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</si>
  <si>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</si>
  <si>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</si>
  <si>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</si>
  <si>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</si>
  <si>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</si>
  <si>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</si>
  <si>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</si>
  <si>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</si>
  <si>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</si>
  <si>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</si>
  <si>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</si>
  <si>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</si>
  <si>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</si>
  <si>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</si>
  <si>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</si>
  <si>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</si>
  <si>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</si>
  <si>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</si>
  <si>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</si>
  <si>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</si>
  <si>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</si>
  <si>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</si>
  <si>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</si>
  <si>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</si>
  <si>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</si>
  <si>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</si>
  <si>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</si>
  <si>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</si>
  <si>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</si>
  <si>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</si>
  <si>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</si>
  <si>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</si>
  <si>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</si>
  <si>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</si>
  <si>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</si>
  <si>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</si>
  <si>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</si>
  <si>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</si>
  <si>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</si>
  <si>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</si>
  <si>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</si>
  <si>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</si>
  <si>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</si>
  <si>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</si>
  <si>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</si>
  <si>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</si>
  <si>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</si>
  <si>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</si>
  <si>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</si>
  <si>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</si>
  <si>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</si>
  <si>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</si>
  <si>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</si>
  <si>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</si>
  <si>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</si>
  <si>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</si>
  <si>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</si>
  <si>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</si>
  <si>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</si>
  <si>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</si>
  <si>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</si>
  <si>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</si>
  <si>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</si>
  <si>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</si>
  <si>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</si>
  <si>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</si>
  <si>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</si>
  <si>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</si>
  <si>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</si>
  <si>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</si>
  <si>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</si>
  <si>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</si>
  <si>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</si>
  <si>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</si>
  <si>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</si>
  <si>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</si>
  <si>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</si>
  <si>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</si>
  <si>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</si>
  <si>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</si>
  <si>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</si>
  <si>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</si>
  <si>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</si>
  <si>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</si>
  <si>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</si>
  <si>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</si>
  <si>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</si>
  <si>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</si>
  <si>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</si>
  <si>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</si>
  <si>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</si>
  <si>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</si>
  <si>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</si>
  <si>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</si>
  <si>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</si>
  <si>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</si>
  <si>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</si>
  <si>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</si>
  <si>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</si>
  <si>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</si>
  <si>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</si>
  <si>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</si>
  <si>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</si>
  <si>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</si>
  <si>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</si>
  <si>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</si>
  <si>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</si>
  <si>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</si>
  <si>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</si>
  <si>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</si>
  <si>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</si>
  <si>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</si>
  <si>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</si>
  <si>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</si>
  <si>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</si>
  <si>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</si>
  <si>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</si>
  <si>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</si>
  <si>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</si>
  <si>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</si>
  <si>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</si>
  <si>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</si>
  <si>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</si>
  <si>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</si>
  <si>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</si>
  <si>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</si>
  <si>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</si>
  <si>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</si>
  <si>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</si>
  <si>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</si>
  <si>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</si>
  <si>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</si>
  <si>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</si>
  <si>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</si>
  <si>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</si>
  <si>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</si>
  <si>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</si>
  <si>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</si>
  <si>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</si>
  <si>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</si>
  <si>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</si>
  <si>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</si>
  <si>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</si>
  <si>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</si>
  <si>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</si>
  <si>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</si>
  <si>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</si>
  <si>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</si>
  <si>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</si>
  <si>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</si>
  <si>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</si>
  <si>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</si>
  <si>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</si>
  <si>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</si>
  <si>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</si>
  <si>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</si>
  <si>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</si>
  <si>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</si>
  <si>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</si>
  <si>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</si>
  <si>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</si>
  <si>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</si>
  <si>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</si>
  <si>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</si>
  <si>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</si>
  <si>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</si>
  <si>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</si>
  <si>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</si>
  <si>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</si>
  <si>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</si>
  <si>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</si>
  <si>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</si>
  <si>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</si>
  <si>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</si>
  <si>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</si>
  <si>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</si>
  <si>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</si>
  <si>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</si>
  <si>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</si>
  <si>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</si>
  <si>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</si>
  <si>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</si>
  <si>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</si>
  <si>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</si>
  <si>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</si>
  <si>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</si>
  <si>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</si>
  <si>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</si>
  <si>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</si>
  <si>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</si>
  <si>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</si>
  <si>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</si>
  <si>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</si>
  <si>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</si>
  <si>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</si>
  <si>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</si>
  <si>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</si>
  <si>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</si>
  <si>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</si>
  <si>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</si>
  <si>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</si>
  <si>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</si>
  <si>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</si>
  <si>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</si>
  <si>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</si>
  <si>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</si>
  <si>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</si>
  <si>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</si>
  <si>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</si>
  <si>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</si>
  <si>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</si>
  <si>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</si>
  <si>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</si>
  <si>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</si>
  <si>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</si>
  <si>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</si>
  <si>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</si>
  <si>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</si>
  <si>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</si>
  <si>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</si>
  <si>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</si>
  <si>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</si>
  <si>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</si>
  <si>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</si>
  <si>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</si>
  <si>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</si>
  <si>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</si>
  <si>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</si>
  <si>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</si>
  <si>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</si>
  <si>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</si>
  <si>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</si>
  <si>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</si>
  <si>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</si>
  <si>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</si>
  <si>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</si>
  <si>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</si>
  <si>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</si>
  <si>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</si>
  <si>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</si>
  <si>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</si>
  <si>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</si>
  <si>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</si>
  <si>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</si>
  <si>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</si>
  <si>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</si>
  <si>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</si>
  <si>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</si>
  <si>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</si>
  <si>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</si>
  <si>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</si>
  <si>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</si>
  <si>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</si>
  <si>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</si>
  <si>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</si>
  <si>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</si>
  <si>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</si>
  <si>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</si>
  <si>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</si>
  <si>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</si>
  <si>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</si>
  <si>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</si>
  <si>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</si>
  <si>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</si>
  <si>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</si>
  <si>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</si>
  <si>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</si>
  <si>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</si>
  <si>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</si>
  <si>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</si>
  <si>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</si>
  <si>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</si>
  <si>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</si>
  <si>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</si>
  <si>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</si>
  <si>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</si>
  <si>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</si>
  <si>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</si>
  <si>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</si>
  <si>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</si>
  <si>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</si>
  <si>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</si>
  <si>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</si>
  <si>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</si>
  <si>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</si>
  <si>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</si>
  <si>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</si>
  <si>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</si>
  <si>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</si>
  <si>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</si>
  <si>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</si>
  <si>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</si>
  <si>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</si>
  <si>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</si>
  <si>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</si>
  <si>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</si>
  <si>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</si>
  <si>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</si>
  <si>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</si>
  <si>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</si>
  <si>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</si>
  <si>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</si>
  <si>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</si>
  <si>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</si>
  <si>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</si>
  <si>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</si>
  <si>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</si>
  <si>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</si>
  <si>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</si>
  <si>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</si>
  <si>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</si>
  <si>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</si>
  <si>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</si>
  <si>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</si>
  <si>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</si>
  <si>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</si>
  <si>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</si>
  <si>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</si>
  <si>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</si>
  <si>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</si>
  <si>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</si>
  <si>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</si>
  <si>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</si>
  <si>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</si>
  <si>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</si>
  <si>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</si>
  <si>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</si>
  <si>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</si>
  <si>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</si>
  <si>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</si>
  <si>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</si>
  <si>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</si>
  <si>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</si>
  <si>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</si>
  <si>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</si>
  <si>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</si>
  <si>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</si>
  <si>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</si>
  <si>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</si>
  <si>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</si>
  <si>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</si>
  <si>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</si>
  <si>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</si>
  <si>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</si>
  <si>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</si>
  <si>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</si>
  <si>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</si>
  <si>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</si>
  <si>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</si>
  <si>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</si>
  <si>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</si>
  <si>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</si>
  <si>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</si>
  <si>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</si>
  <si>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</si>
  <si>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</si>
  <si>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</si>
  <si>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</si>
  <si>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</si>
  <si>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</si>
  <si>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</si>
  <si>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</si>
  <si>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</si>
  <si>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</si>
  <si>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</si>
  <si>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</si>
  <si>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</si>
  <si>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</si>
  <si>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</si>
  <si>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</si>
  <si>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</si>
  <si>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</si>
  <si>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</si>
  <si>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</si>
  <si>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</si>
  <si>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</si>
  <si>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</si>
  <si>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</si>
  <si>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</si>
  <si>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</si>
  <si>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</si>
  <si>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</si>
  <si>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</si>
  <si>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</si>
  <si>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</si>
  <si>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</si>
  <si>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</si>
  <si>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</si>
  <si>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</si>
  <si>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</si>
  <si>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</si>
  <si>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</si>
  <si>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</si>
  <si>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</si>
  <si>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</si>
  <si>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</si>
  <si>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</si>
  <si>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</si>
  <si>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</si>
  <si>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</si>
  <si>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</si>
  <si>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</si>
  <si>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</si>
  <si>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</si>
  <si>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</si>
  <si>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</si>
  <si>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</si>
  <si>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</si>
  <si>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</si>
  <si>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</si>
  <si>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</si>
  <si>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</si>
  <si>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</si>
  <si>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</si>
  <si>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</si>
  <si>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</si>
  <si>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</si>
  <si>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</si>
  <si>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</si>
  <si>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</si>
  <si>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</si>
  <si>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</si>
  <si>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</si>
  <si>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</si>
  <si>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</si>
  <si>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</si>
  <si>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</si>
  <si>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</si>
  <si>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</si>
  <si>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</si>
  <si>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</si>
  <si>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</si>
  <si>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</si>
  <si>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</si>
  <si>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</si>
  <si>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</si>
  <si>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</si>
  <si>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</si>
  <si>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</si>
  <si>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</si>
  <si>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</si>
  <si>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</si>
  <si>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</si>
  <si>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</si>
  <si>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</si>
  <si>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</si>
  <si>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</si>
  <si>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</si>
  <si>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</si>
  <si>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</si>
  <si>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</si>
  <si>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</si>
  <si>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</si>
  <si>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</si>
  <si>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</si>
  <si>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</si>
  <si>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</si>
  <si>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</si>
  <si>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</si>
  <si>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</si>
  <si>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</si>
  <si>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</si>
  <si>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</si>
  <si>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</si>
  <si>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</si>
  <si>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</si>
  <si>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</si>
  <si>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</si>
  <si>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</si>
  <si>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</si>
  <si>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</si>
  <si>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</si>
  <si>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</si>
  <si>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</si>
  <si>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</si>
  <si>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</si>
  <si>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</si>
  <si>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</si>
  <si>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</si>
  <si>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</si>
  <si>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</si>
  <si>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</si>
  <si>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</si>
  <si>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</si>
  <si>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</si>
  <si>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</si>
  <si>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</si>
  <si>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</si>
  <si>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</si>
  <si>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</si>
  <si>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</si>
  <si>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</si>
  <si>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</si>
  <si>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</si>
  <si>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</si>
  <si>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</si>
  <si>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</si>
  <si>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</si>
  <si>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</si>
  <si>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</si>
  <si>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</si>
  <si>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</si>
  <si>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</si>
  <si>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</si>
  <si>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</si>
  <si>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</si>
  <si>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</si>
  <si>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</si>
  <si>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</si>
  <si>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</si>
  <si>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</si>
  <si>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</si>
  <si>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</si>
  <si>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</si>
  <si>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</si>
  <si>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</si>
  <si>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</si>
  <si>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</si>
  <si>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</si>
  <si>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</si>
  <si>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</si>
  <si>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</si>
  <si>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</si>
  <si>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</si>
  <si>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</si>
  <si>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</si>
  <si>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</si>
  <si>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</si>
  <si>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</si>
  <si>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</si>
  <si>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</si>
  <si>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</si>
  <si>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</si>
  <si>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</si>
  <si>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</si>
  <si>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</si>
  <si>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</si>
  <si>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</si>
  <si>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</si>
  <si>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</si>
  <si>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</si>
  <si>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</si>
  <si>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</si>
  <si>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</si>
  <si>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</si>
  <si>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</si>
  <si>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</si>
  <si>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</si>
  <si>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</si>
  <si>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</si>
  <si>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</si>
  <si>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</si>
  <si>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</si>
  <si>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</si>
  <si>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</si>
  <si>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</si>
  <si>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</si>
  <si>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</si>
  <si>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</si>
  <si>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</si>
  <si>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</si>
  <si>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</si>
  <si>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</si>
  <si>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</si>
  <si>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</si>
  <si>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</si>
  <si>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</si>
  <si>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</si>
  <si>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</si>
  <si>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</si>
  <si>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</si>
  <si>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</si>
  <si>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</si>
  <si>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</si>
  <si>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</si>
  <si>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</si>
  <si>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</si>
  <si>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</si>
  <si>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</si>
  <si>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</si>
  <si>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</si>
  <si>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</si>
  <si>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</si>
  <si>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</si>
  <si>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</si>
  <si>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</si>
  <si>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</si>
  <si>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</si>
  <si>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</si>
  <si>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</si>
  <si>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</si>
  <si>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</si>
  <si>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</si>
  <si>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</si>
  <si>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</si>
  <si>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</si>
  <si>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</si>
  <si>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</si>
  <si>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</si>
  <si>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</si>
  <si>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</si>
  <si>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</si>
  <si>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</si>
  <si>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</si>
  <si>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</si>
  <si>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</si>
  <si>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</si>
  <si>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</si>
  <si>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</si>
  <si>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</si>
  <si>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</si>
  <si>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</si>
  <si>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</si>
  <si>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</si>
  <si>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</si>
  <si>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</si>
  <si>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</si>
  <si>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</si>
  <si>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</si>
  <si>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</si>
  <si>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</si>
  <si>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</si>
  <si>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</si>
  <si>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</si>
  <si>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</si>
  <si>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</si>
  <si>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</si>
  <si>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</si>
  <si>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</si>
  <si>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</si>
  <si>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</si>
  <si>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</si>
  <si>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</si>
  <si>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</si>
  <si>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</si>
  <si>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</si>
  <si>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</si>
  <si>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</si>
  <si>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</si>
  <si>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</si>
  <si>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</si>
  <si>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</si>
  <si>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</si>
  <si>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</si>
  <si>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</si>
  <si>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</si>
  <si>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</si>
  <si>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</si>
  <si>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</si>
  <si>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</si>
  <si>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</si>
  <si>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</si>
  <si>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</si>
  <si>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</si>
  <si>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</si>
  <si>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</si>
  <si>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</si>
  <si>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</si>
  <si>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</si>
  <si>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</si>
  <si>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</si>
  <si>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</si>
  <si>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</si>
  <si>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</si>
  <si>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</si>
  <si>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</si>
  <si>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</si>
  <si>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</si>
  <si>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</si>
  <si>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</si>
  <si>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</si>
  <si>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</si>
  <si>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</si>
  <si>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</si>
  <si>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</si>
  <si>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</si>
  <si>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</si>
  <si>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</si>
  <si>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</si>
  <si>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</si>
  <si>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</si>
  <si>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</si>
  <si>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</si>
  <si>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</si>
  <si>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</si>
  <si>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</si>
  <si>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</si>
  <si>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</si>
  <si>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</si>
  <si>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</si>
  <si>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</si>
  <si>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</si>
  <si>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</si>
  <si>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</si>
  <si>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</si>
  <si>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</si>
  <si>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</si>
  <si>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</si>
  <si>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</si>
  <si>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</si>
  <si>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</si>
  <si>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</si>
  <si>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</si>
  <si>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</si>
  <si>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</si>
  <si>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</si>
  <si>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</si>
  <si>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</si>
  <si>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</si>
  <si>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</si>
  <si>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</si>
  <si>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</si>
  <si>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</si>
  <si>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</si>
  <si>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</si>
  <si>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</si>
  <si>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</si>
  <si>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</si>
  <si>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</si>
  <si>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</si>
  <si>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</si>
  <si>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</si>
  <si>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</si>
  <si>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</si>
  <si>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</si>
  <si>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</si>
  <si>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</si>
  <si>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</si>
  <si>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</si>
  <si>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</si>
  <si>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</si>
  <si>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</si>
  <si>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</si>
  <si>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</si>
  <si>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</si>
  <si>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</si>
  <si>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</si>
  <si>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</si>
  <si>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</si>
  <si>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</si>
  <si>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</si>
  <si>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</si>
  <si>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</si>
  <si>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</si>
  <si>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</si>
  <si>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</si>
  <si>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</si>
  <si>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</si>
  <si>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</si>
  <si>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</si>
  <si>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</si>
  <si>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</si>
  <si>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</si>
  <si>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</si>
  <si>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</si>
  <si>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</si>
  <si>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</si>
  <si>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</si>
  <si>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</si>
  <si>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</si>
  <si>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</si>
  <si>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</si>
  <si>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</si>
  <si>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</si>
  <si>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</si>
  <si>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</si>
  <si>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</si>
  <si>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</si>
  <si>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</si>
  <si>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</si>
  <si>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</si>
  <si>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</si>
  <si>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</si>
  <si>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</si>
  <si>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</si>
  <si>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</si>
  <si>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</si>
  <si>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</si>
  <si>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</si>
  <si>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</si>
  <si>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</si>
  <si>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</si>
  <si>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</si>
  <si>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</si>
  <si>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</si>
  <si>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</si>
  <si>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</si>
  <si>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</si>
  <si>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</si>
  <si>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</si>
  <si>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</si>
  <si>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</si>
  <si>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</si>
  <si>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</si>
  <si>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</si>
  <si>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</si>
  <si>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</si>
  <si>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</si>
  <si>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</si>
  <si>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</si>
  <si>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</si>
  <si>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</si>
  <si>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</si>
  <si>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</si>
  <si>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</si>
  <si>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</si>
  <si>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</si>
  <si>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</si>
  <si>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</si>
  <si>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</si>
  <si>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</si>
  <si>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</si>
  <si>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</si>
  <si>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</si>
  <si>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</si>
  <si>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</si>
  <si>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</si>
  <si>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</si>
  <si>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</si>
  <si>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</si>
  <si>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</si>
  <si>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</si>
  <si>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</si>
  <si>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</si>
  <si>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</si>
  <si>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</si>
  <si>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</si>
  <si>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</si>
  <si>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</si>
  <si>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</si>
  <si>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</si>
  <si>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</si>
  <si>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</si>
  <si>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</si>
  <si>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</si>
  <si>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</si>
  <si>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</si>
  <si>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</si>
  <si>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</si>
  <si>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</si>
  <si>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</si>
  <si>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</si>
  <si>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</si>
  <si>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</si>
  <si>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</si>
  <si>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</si>
  <si>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</si>
  <si>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</si>
  <si>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</si>
  <si>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</si>
  <si>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</si>
  <si>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</si>
  <si>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</si>
  <si>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</si>
  <si>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</si>
  <si>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</si>
  <si>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</si>
  <si>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</si>
  <si>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</si>
  <si>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</si>
  <si>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</si>
  <si>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</si>
  <si>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</si>
  <si>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</si>
  <si>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</si>
  <si>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</si>
  <si>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</si>
  <si>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</si>
  <si>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</si>
  <si>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</si>
  <si>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</si>
  <si>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</si>
  <si>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</si>
  <si>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</si>
  <si>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</si>
  <si>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</si>
  <si>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</si>
  <si>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</si>
  <si>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</si>
  <si>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</si>
  <si>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</si>
  <si>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</si>
  <si>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</si>
  <si>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</si>
  <si>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</si>
  <si>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</si>
  <si>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</si>
  <si>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</si>
  <si>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</si>
  <si>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</si>
  <si>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</si>
  <si>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</si>
  <si>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</si>
  <si>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</si>
  <si>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</si>
  <si>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</si>
  <si>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</si>
  <si>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</si>
  <si>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</si>
  <si>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</si>
  <si>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</si>
  <si>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</si>
  <si>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</si>
  <si>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</si>
  <si>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</si>
  <si>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</si>
  <si>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</si>
  <si>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</si>
  <si>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</si>
  <si>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</si>
  <si>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</si>
  <si>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</si>
  <si>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</si>
  <si>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</si>
  <si>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</si>
  <si>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</si>
  <si>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</si>
  <si>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</si>
  <si>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</si>
  <si>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</si>
  <si>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</si>
  <si>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</si>
  <si>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</si>
  <si>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</si>
  <si>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</si>
  <si>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</si>
  <si>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</si>
  <si>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</si>
  <si>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</si>
  <si>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</si>
  <si>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</si>
  <si>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</si>
  <si>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</si>
  <si>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</si>
  <si>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</si>
  <si>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</si>
  <si>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</si>
  <si>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</si>
  <si>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</si>
  <si>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</si>
  <si>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</si>
  <si>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</si>
  <si>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</si>
  <si>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</si>
  <si>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</si>
  <si>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</si>
  <si>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</si>
  <si>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</si>
  <si>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</si>
  <si>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</si>
  <si>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</si>
  <si>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</si>
  <si>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</si>
  <si>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</si>
  <si>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</si>
  <si>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</si>
  <si>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</si>
  <si>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</si>
  <si>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</si>
  <si>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</si>
  <si>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</si>
  <si>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</si>
  <si>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</si>
  <si>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</si>
  <si>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</si>
  <si>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</si>
  <si>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</si>
  <si>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</si>
  <si>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</si>
  <si>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</si>
  <si>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</si>
  <si>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</si>
  <si>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</si>
  <si>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</si>
  <si>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</si>
  <si>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</si>
  <si>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</si>
  <si>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</si>
  <si>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</si>
  <si>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</si>
  <si>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</si>
  <si>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</si>
  <si>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</si>
  <si>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</si>
  <si>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</si>
  <si>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</si>
  <si>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</si>
  <si>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</si>
  <si>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</si>
  <si>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</si>
  <si>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</si>
  <si>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</si>
  <si>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</si>
  <si>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</si>
  <si>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</si>
  <si>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</si>
  <si>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</si>
  <si>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</si>
  <si>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</si>
  <si>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</si>
  <si>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</si>
  <si>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</si>
  <si>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</si>
  <si>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</si>
  <si>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</si>
  <si>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</si>
  <si>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</si>
  <si>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</si>
  <si>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</si>
  <si>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</si>
  <si>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</si>
  <si>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</si>
  <si>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</si>
  <si>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</si>
  <si>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</si>
  <si>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</si>
  <si>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</si>
  <si>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</si>
  <si>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</si>
  <si>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</si>
  <si>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</si>
  <si>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</si>
  <si>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</si>
  <si>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</si>
  <si>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</si>
  <si>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</si>
  <si>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</si>
  <si>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</si>
  <si>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</si>
  <si>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</si>
  <si>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</si>
  <si>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</si>
  <si>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</si>
  <si>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</si>
  <si>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</si>
  <si>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</si>
  <si>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</si>
  <si>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</si>
  <si>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</si>
  <si>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</si>
  <si>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</si>
  <si>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</si>
  <si>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</si>
  <si>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</si>
  <si>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</si>
  <si>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</si>
  <si>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</si>
  <si>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</si>
  <si>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</si>
  <si>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</si>
  <si>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</si>
  <si>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</si>
  <si>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</si>
  <si>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</si>
  <si>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</si>
  <si>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</si>
  <si>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</si>
  <si>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</si>
  <si>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</si>
  <si>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</si>
  <si>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</si>
  <si>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</si>
  <si>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</si>
  <si>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</si>
  <si>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</si>
  <si>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</si>
  <si>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</si>
  <si>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</si>
  <si>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</si>
  <si>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</si>
  <si>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</si>
  <si>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</si>
  <si>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</si>
  <si>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</si>
  <si>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</si>
  <si>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</si>
  <si>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</si>
  <si>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</si>
  <si>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</si>
  <si>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</si>
  <si>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</si>
  <si>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</si>
  <si>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</si>
  <si>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</si>
  <si>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</si>
  <si>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</si>
  <si>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</si>
  <si>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</si>
  <si>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</si>
  <si>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</si>
  <si>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</si>
  <si>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</si>
  <si>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</si>
  <si>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</si>
  <si>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</si>
  <si>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</si>
  <si>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</si>
  <si>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</si>
  <si>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</si>
  <si>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</si>
  <si>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</si>
  <si>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</si>
  <si>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</si>
  <si>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</si>
  <si>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</si>
  <si>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</si>
  <si>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</si>
  <si>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</si>
  <si>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</si>
  <si>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</si>
  <si>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</si>
  <si>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</si>
  <si>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</si>
  <si>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</si>
  <si>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</si>
  <si>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</si>
  <si>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</si>
  <si>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</si>
  <si>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</si>
  <si>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</si>
  <si>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</si>
  <si>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</si>
  <si>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</si>
  <si>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</si>
  <si>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</si>
  <si>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</si>
  <si>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</si>
  <si>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</si>
  <si>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</si>
  <si>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</si>
  <si>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</si>
  <si>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</si>
  <si>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</si>
  <si>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</si>
  <si>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</si>
  <si>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</si>
  <si>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</si>
  <si>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</si>
  <si>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</si>
  <si>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</si>
  <si>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</si>
  <si>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</si>
  <si>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</si>
  <si>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</si>
  <si>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</si>
  <si>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</si>
  <si>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</si>
  <si>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</si>
  <si>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</si>
  <si>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</si>
  <si>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</si>
  <si>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</si>
  <si>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</si>
  <si>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</si>
  <si>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</si>
  <si>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</si>
  <si>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</si>
  <si>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</si>
  <si>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</si>
  <si>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</si>
  <si>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</si>
  <si>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</si>
  <si>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</si>
  <si>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</si>
  <si>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</si>
  <si>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</si>
  <si>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</si>
  <si>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</si>
  <si>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</si>
  <si>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</si>
  <si>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</si>
  <si>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</si>
  <si>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</si>
  <si>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</si>
  <si>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</si>
  <si>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</si>
  <si>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</si>
  <si>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</si>
  <si>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</si>
  <si>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</si>
  <si>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</si>
  <si>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</si>
  <si>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</si>
  <si>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</si>
  <si>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</si>
  <si>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</si>
  <si>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</si>
  <si>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</si>
  <si>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</si>
  <si>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</si>
  <si>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</si>
  <si>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</si>
  <si>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</si>
  <si>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</si>
  <si>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</si>
  <si>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</si>
  <si>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</si>
  <si>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</si>
  <si>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</si>
  <si>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</si>
  <si>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</si>
  <si>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</si>
  <si>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</si>
  <si>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</si>
  <si>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</si>
  <si>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</si>
  <si>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</si>
  <si>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</si>
  <si>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</si>
  <si>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</si>
  <si>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</si>
  <si>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</si>
  <si>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</si>
  <si>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</si>
  <si>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</si>
  <si>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</si>
  <si>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</si>
  <si>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</si>
  <si>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</si>
  <si>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</si>
  <si>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</si>
  <si>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</si>
  <si>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</si>
  <si>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</si>
  <si>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</si>
  <si>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</si>
  <si>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</si>
  <si>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</si>
  <si>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</si>
  <si>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</si>
  <si>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</si>
  <si>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</si>
  <si>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</si>
  <si>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</si>
  <si>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</si>
  <si>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</si>
  <si>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</si>
  <si>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</si>
  <si>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</si>
  <si>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</si>
  <si>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</si>
  <si>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</si>
  <si>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</si>
  <si>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</si>
  <si>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</si>
  <si>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</si>
  <si>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</si>
  <si>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</si>
  <si>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</si>
  <si>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</si>
  <si>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</si>
  <si>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</si>
  <si>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</si>
  <si>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</si>
  <si>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</si>
  <si>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</si>
  <si>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</si>
  <si>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</si>
  <si>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</si>
  <si>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</si>
  <si>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</si>
  <si>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</si>
  <si>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</si>
  <si>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</si>
  <si>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</si>
  <si>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</si>
  <si>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</si>
  <si>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</si>
  <si>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</si>
  <si>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</si>
  <si>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</si>
  <si>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</si>
  <si>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</si>
  <si>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</si>
  <si>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</si>
  <si>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</si>
  <si>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</si>
  <si>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</si>
  <si>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</si>
  <si>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</si>
  <si>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</si>
  <si>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</si>
  <si>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</si>
  <si>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</si>
  <si>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</si>
  <si>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</si>
  <si>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</si>
  <si>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</si>
  <si>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</si>
  <si>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</si>
  <si>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</si>
  <si>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</si>
  <si>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</si>
  <si>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</si>
  <si>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</si>
  <si>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</si>
  <si>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</si>
  <si>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</si>
  <si>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</si>
  <si>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</si>
  <si>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</si>
  <si>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</si>
  <si>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</si>
  <si>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</si>
  <si>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</si>
  <si>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</si>
  <si>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</si>
  <si>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</si>
  <si>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</si>
  <si>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</si>
  <si>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</si>
  <si>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</si>
  <si>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</si>
  <si>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</si>
  <si>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</si>
  <si>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</si>
  <si>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</si>
  <si>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</si>
  <si>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</si>
  <si>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</si>
  <si>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</si>
  <si>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</si>
  <si>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</si>
  <si>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</si>
  <si>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</si>
  <si>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</si>
  <si>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</si>
  <si>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</si>
  <si>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</si>
  <si>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</si>
  <si>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</si>
  <si>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</si>
  <si>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</si>
  <si>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</si>
  <si>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</si>
  <si>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</si>
  <si>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</si>
  <si>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</si>
  <si>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</si>
  <si>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</si>
  <si>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</si>
  <si>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</si>
  <si>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</si>
  <si>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</si>
  <si>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</si>
  <si>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</si>
  <si>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</si>
  <si>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</si>
  <si>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</si>
  <si>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</si>
  <si>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</si>
  <si>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</si>
  <si>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</si>
  <si>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</si>
  <si>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</si>
  <si>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</si>
  <si>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</si>
  <si>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</si>
  <si>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</si>
  <si>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</si>
  <si>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</si>
  <si>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</si>
  <si>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</si>
  <si>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</si>
  <si>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</si>
  <si>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</si>
  <si>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</si>
  <si>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</si>
  <si>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</si>
  <si>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</si>
  <si>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</si>
  <si>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</si>
  <si>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</si>
  <si>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</si>
  <si>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</si>
  <si>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</si>
  <si>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</si>
  <si>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</si>
  <si>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</si>
  <si>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</si>
  <si>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</si>
  <si>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</si>
  <si>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</si>
  <si>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</si>
  <si>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</si>
  <si>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</si>
  <si>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</si>
  <si>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</si>
  <si>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</si>
  <si>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</si>
  <si>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</si>
  <si>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</si>
  <si>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</si>
  <si>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</si>
  <si>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</si>
  <si>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</si>
  <si>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</si>
  <si>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</si>
  <si>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</si>
  <si>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</si>
  <si>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</si>
  <si>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</si>
  <si>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</si>
  <si>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</si>
  <si>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</si>
  <si>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</si>
  <si>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</si>
  <si>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</si>
  <si>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</si>
  <si>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</si>
  <si>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</si>
  <si>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</si>
  <si>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</si>
  <si>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</si>
  <si>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</si>
  <si>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</si>
  <si>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</si>
  <si>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</si>
  <si>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</si>
  <si>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</si>
  <si>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</si>
  <si>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</si>
  <si>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</si>
  <si>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</si>
  <si>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</si>
  <si>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</si>
  <si>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</si>
  <si>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</si>
  <si>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</si>
  <si>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</si>
  <si>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</si>
  <si>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</si>
  <si>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</si>
  <si>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</si>
  <si>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</si>
  <si>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</si>
  <si>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</si>
  <si>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</si>
  <si>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</si>
  <si>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</si>
  <si>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</si>
  <si>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</si>
  <si>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</si>
  <si>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</si>
  <si>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</si>
  <si>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</si>
  <si>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</si>
  <si>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</si>
  <si>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</si>
  <si>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</si>
  <si>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</si>
  <si>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</si>
  <si>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</si>
  <si>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</si>
  <si>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</si>
  <si>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</si>
  <si>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</si>
  <si>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</si>
  <si>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</si>
  <si>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</si>
  <si>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</si>
  <si>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</si>
  <si>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</si>
  <si>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</si>
  <si>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</si>
  <si>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</si>
  <si>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</si>
  <si>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</si>
  <si>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</si>
  <si>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</si>
  <si>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</si>
  <si>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</si>
  <si>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</si>
  <si>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</si>
  <si>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</si>
  <si>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</si>
  <si>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</si>
  <si>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</si>
  <si>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</si>
  <si>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</si>
  <si>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</si>
  <si>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</si>
  <si>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</si>
  <si>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</si>
  <si>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</si>
  <si>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</si>
  <si>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</si>
  <si>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</si>
  <si>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</si>
  <si>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</si>
  <si>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</si>
  <si>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</si>
  <si>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</si>
  <si>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</si>
  <si>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</si>
  <si>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</si>
  <si>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</si>
  <si>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</si>
  <si>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</si>
  <si>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</si>
  <si>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</si>
  <si>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</si>
  <si>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</si>
  <si>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</si>
  <si>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</si>
  <si>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</si>
  <si>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</si>
  <si>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</si>
  <si>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</si>
  <si>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</si>
  <si>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</si>
  <si>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</si>
  <si>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</si>
  <si>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</si>
  <si>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</si>
  <si>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</si>
  <si>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</si>
  <si>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</si>
  <si>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</si>
  <si>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</si>
  <si>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</si>
  <si>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</si>
  <si>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</si>
  <si>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</si>
  <si>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</si>
  <si>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</si>
  <si>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</si>
  <si>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</si>
  <si>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</si>
  <si>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</si>
  <si>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</si>
  <si>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</si>
  <si>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</si>
  <si>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</si>
  <si>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</si>
  <si>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</si>
  <si>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</si>
  <si>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</si>
  <si>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</si>
  <si>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</si>
  <si>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</si>
  <si>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</si>
  <si>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</si>
  <si>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</si>
  <si>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</si>
  <si>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</si>
  <si>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</si>
  <si>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</si>
  <si>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</si>
  <si>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</si>
  <si>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</si>
  <si>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</si>
  <si>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</si>
  <si>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</si>
  <si>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</si>
  <si>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</si>
  <si>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</si>
  <si>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</si>
  <si>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</si>
  <si>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</si>
  <si>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</si>
  <si>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</si>
  <si>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</si>
  <si>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</si>
  <si>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</si>
  <si>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</si>
  <si>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</si>
  <si>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</si>
  <si>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</si>
  <si>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</si>
  <si>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</si>
  <si>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</si>
  <si>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</si>
  <si>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</si>
  <si>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</si>
  <si>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</si>
  <si>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</si>
  <si>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</si>
  <si>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</si>
  <si>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</si>
  <si>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</si>
  <si>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</si>
  <si>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</si>
  <si>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</si>
  <si>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</si>
  <si>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</si>
  <si>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</si>
  <si>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</si>
  <si>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</si>
  <si>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</si>
  <si>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</si>
  <si>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</si>
  <si>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</si>
  <si>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</si>
  <si>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</si>
  <si>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</si>
  <si>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</si>
  <si>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</si>
  <si>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</si>
  <si>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</si>
  <si>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</si>
  <si>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</si>
  <si>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</si>
  <si>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</si>
  <si>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</si>
  <si>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</si>
  <si>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</si>
  <si>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</si>
  <si>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</si>
  <si>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</si>
  <si>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</si>
  <si>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</si>
  <si>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</si>
  <si>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</si>
  <si>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</si>
  <si>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</si>
  <si>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</si>
  <si>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</si>
  <si>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</si>
  <si>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</si>
  <si>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</si>
  <si>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</si>
  <si>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</si>
  <si>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</si>
  <si>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</si>
  <si>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</si>
  <si>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</si>
  <si>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</si>
  <si>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</si>
  <si>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</si>
  <si>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</si>
  <si>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</si>
  <si>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</si>
  <si>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</si>
  <si>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</si>
  <si>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</si>
  <si>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</si>
  <si>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</si>
  <si>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</si>
  <si>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</si>
  <si>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</si>
  <si>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</si>
  <si>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</si>
  <si>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</si>
  <si>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</si>
  <si>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</si>
  <si>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</si>
  <si>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</si>
  <si>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</si>
  <si>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</si>
  <si>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</si>
  <si>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</si>
  <si>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</si>
  <si>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</si>
  <si>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</si>
  <si>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</si>
  <si>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</si>
  <si>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</si>
  <si>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</si>
  <si>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</si>
  <si>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</si>
  <si>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</si>
  <si>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</si>
  <si>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</si>
  <si>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</si>
  <si>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</si>
  <si>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</si>
  <si>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</si>
  <si>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</si>
  <si>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</si>
  <si>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</si>
  <si>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</si>
  <si>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</si>
  <si>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</si>
  <si>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</si>
  <si>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</si>
  <si>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</si>
  <si>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</si>
  <si>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</si>
  <si>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</si>
  <si>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</si>
  <si>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</si>
  <si>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</si>
  <si>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</si>
  <si>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</si>
  <si>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</si>
  <si>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</si>
  <si>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</si>
  <si>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</si>
  <si>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</si>
  <si>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</si>
  <si>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</si>
  <si>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</si>
  <si>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</si>
  <si>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</si>
  <si>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</si>
  <si>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</si>
  <si>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</si>
  <si>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</si>
  <si>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</si>
  <si>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</si>
  <si>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</si>
  <si>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</si>
  <si>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</si>
  <si>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</si>
  <si>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</si>
  <si>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</si>
  <si>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</si>
  <si>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</si>
  <si>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</si>
  <si>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</si>
  <si>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</si>
  <si>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</si>
  <si>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</si>
  <si>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</si>
  <si>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</si>
  <si>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</si>
  <si>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</si>
  <si>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</si>
  <si>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</si>
  <si>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</si>
  <si>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</si>
  <si>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</si>
  <si>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</si>
  <si>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</si>
  <si>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</si>
  <si>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</si>
  <si>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</si>
  <si>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</si>
  <si>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</si>
  <si>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</si>
  <si>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</si>
  <si>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</si>
  <si>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</si>
  <si>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</si>
  <si>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</si>
  <si>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</si>
  <si>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</si>
  <si>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</si>
  <si>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</si>
  <si>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</si>
  <si>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</si>
  <si>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</si>
  <si>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</si>
  <si>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</si>
  <si>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</si>
  <si>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</si>
  <si>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</si>
  <si>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</si>
  <si>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</si>
  <si>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</si>
  <si>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</si>
  <si>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</si>
  <si>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</si>
  <si>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</si>
  <si>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</si>
  <si>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</si>
  <si>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</si>
  <si>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</si>
  <si>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</si>
  <si>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</si>
  <si>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</si>
  <si>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</si>
  <si>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</si>
  <si>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</si>
  <si>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</si>
  <si>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</si>
  <si>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</si>
  <si>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</si>
  <si>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</si>
  <si>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</si>
  <si>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</si>
  <si>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</si>
  <si>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</si>
  <si>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</si>
  <si>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</si>
  <si>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</si>
  <si>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</si>
  <si>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</si>
  <si>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</si>
  <si>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</si>
  <si>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</si>
  <si>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</si>
  <si>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</si>
  <si>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</si>
  <si>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</si>
  <si>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</si>
  <si>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</si>
  <si>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</si>
  <si>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</si>
  <si>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</si>
  <si>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</si>
  <si>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</si>
  <si>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</si>
  <si>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</si>
  <si>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</si>
  <si>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</si>
  <si>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</si>
  <si>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</si>
  <si>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</si>
  <si>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</si>
  <si>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</si>
  <si>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</si>
  <si>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</si>
  <si>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</si>
  <si>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</si>
  <si>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</si>
  <si>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</si>
  <si>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</si>
  <si>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</si>
  <si>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</si>
  <si>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</si>
  <si>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</si>
  <si>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</si>
  <si>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</si>
  <si>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</si>
  <si>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</si>
  <si>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</si>
  <si>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</si>
  <si>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</si>
  <si>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</si>
  <si>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</si>
  <si>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</si>
  <si>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</si>
  <si>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</si>
  <si>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</si>
  <si>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</si>
  <si>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</si>
  <si>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</si>
  <si>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</si>
  <si>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</si>
  <si>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</si>
  <si>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</si>
  <si>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</si>
  <si>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</si>
  <si>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</si>
  <si>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</si>
  <si>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</si>
  <si>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</si>
  <si>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</si>
  <si>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</si>
  <si>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</si>
  <si>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</si>
  <si>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</si>
  <si>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</si>
  <si>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</si>
  <si>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</si>
  <si>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</si>
  <si>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</si>
  <si>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</si>
  <si>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</si>
  <si>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</si>
  <si>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</si>
  <si>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</si>
  <si>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</si>
  <si>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</si>
  <si>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</si>
  <si>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</si>
  <si>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</si>
  <si>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</si>
  <si>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</si>
  <si>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</si>
  <si>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</si>
  <si>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</si>
  <si>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</si>
  <si>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</si>
  <si>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</si>
  <si>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</si>
  <si>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</si>
  <si>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</si>
  <si>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</si>
  <si>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</si>
  <si>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</si>
  <si>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</si>
  <si>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</si>
  <si>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</si>
  <si>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</si>
  <si>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</si>
  <si>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</si>
  <si>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</si>
  <si>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</si>
  <si>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</si>
  <si>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</si>
  <si>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</si>
  <si>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</si>
  <si>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</si>
  <si>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</si>
  <si>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</si>
  <si>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</si>
  <si>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</si>
  <si>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</si>
  <si>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</si>
  <si>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</si>
  <si>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</si>
  <si>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</si>
  <si>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</si>
  <si>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</si>
  <si>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</si>
  <si>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</si>
  <si>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</si>
  <si>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</si>
  <si>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</si>
  <si>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</si>
  <si>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</si>
  <si>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</si>
  <si>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</si>
  <si>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</si>
  <si>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</si>
  <si>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</si>
  <si>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</si>
  <si>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</si>
  <si>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</si>
  <si>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</si>
  <si>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</si>
  <si>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</si>
  <si>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</si>
  <si>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</si>
  <si>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</si>
  <si>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</si>
  <si>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</si>
  <si>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</si>
  <si>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</si>
  <si>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</si>
  <si>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</si>
  <si>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</si>
  <si>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</si>
  <si>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</si>
  <si>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</si>
  <si>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</si>
  <si>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</si>
  <si>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</si>
  <si>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</si>
  <si>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</si>
  <si>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</si>
  <si>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</si>
  <si>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</si>
  <si>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</si>
  <si>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</si>
  <si>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</si>
  <si>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</si>
  <si>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</si>
  <si>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</si>
  <si>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</si>
  <si>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</si>
  <si>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</si>
  <si>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</si>
  <si>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</si>
  <si>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</si>
  <si>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</si>
  <si>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</si>
  <si>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</si>
  <si>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</si>
  <si>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</si>
  <si>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</si>
  <si>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</si>
  <si>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</si>
  <si>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</si>
  <si>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</si>
  <si>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</si>
  <si>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</si>
  <si>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</si>
  <si>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</si>
  <si>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</si>
  <si>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</si>
  <si>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</si>
  <si>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</si>
  <si>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</si>
  <si>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</si>
  <si>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</si>
  <si>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</si>
  <si>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</si>
  <si>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</si>
  <si>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</si>
  <si>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</si>
  <si>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</si>
  <si>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</si>
  <si>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</si>
  <si>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</si>
  <si>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</si>
  <si>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</si>
  <si>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</si>
  <si>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</si>
  <si>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</si>
  <si>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</si>
  <si>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</si>
  <si>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</si>
  <si>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</si>
  <si>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</si>
  <si>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</si>
  <si>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</si>
  <si>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</si>
  <si>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</si>
  <si>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</si>
  <si>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</si>
  <si>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</si>
  <si>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</si>
  <si>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</si>
  <si>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</si>
  <si>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</si>
  <si>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</si>
  <si>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</si>
  <si>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</si>
  <si>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</si>
  <si>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</si>
  <si>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</si>
  <si>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</si>
  <si>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</si>
  <si>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</si>
  <si>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</si>
  <si>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</si>
  <si>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</si>
  <si>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</si>
  <si>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</si>
  <si>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</si>
  <si>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</si>
  <si>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</si>
  <si>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</si>
  <si>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</si>
  <si>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</si>
  <si>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</si>
  <si>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</si>
  <si>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</si>
  <si>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</si>
  <si>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</si>
  <si>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</si>
  <si>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</si>
  <si>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</si>
  <si>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</si>
  <si>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</si>
  <si>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</si>
  <si>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</si>
  <si>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</si>
  <si>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</si>
  <si>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</si>
  <si>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</si>
  <si>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</si>
  <si>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</si>
  <si>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</si>
  <si>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</si>
  <si>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</si>
  <si>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</si>
  <si>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</si>
  <si>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</si>
  <si>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</si>
  <si>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</si>
  <si>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</si>
  <si>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</si>
  <si>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</si>
  <si>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</si>
  <si>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</si>
  <si>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</si>
  <si>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</si>
  <si>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</si>
  <si>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</si>
  <si>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</si>
  <si>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</si>
  <si>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</si>
  <si>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</si>
  <si>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</si>
  <si>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</si>
  <si>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</si>
  <si>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</si>
  <si>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</si>
  <si>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</si>
  <si>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</si>
  <si>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</si>
  <si>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</si>
  <si>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</si>
  <si>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</si>
  <si>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</si>
  <si>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</si>
  <si>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</si>
  <si>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</si>
  <si>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</si>
  <si>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</si>
  <si>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</si>
  <si>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</si>
  <si>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</si>
  <si>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</si>
  <si>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</si>
  <si>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</si>
  <si>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</si>
  <si>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</si>
  <si>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</si>
  <si>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</si>
  <si>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</si>
  <si>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</si>
  <si>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</si>
  <si>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</si>
  <si>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</si>
  <si>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</si>
  <si>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</si>
  <si>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</si>
  <si>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</si>
  <si>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</si>
  <si>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</si>
  <si>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</si>
  <si>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</si>
  <si>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</si>
  <si>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</si>
  <si>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</si>
  <si>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</si>
  <si>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</si>
  <si>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</si>
  <si>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</si>
  <si>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</si>
  <si>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</si>
  <si>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</si>
  <si>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</si>
  <si>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</si>
  <si>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</si>
  <si>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</si>
  <si>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</si>
  <si>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</si>
  <si>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</si>
  <si>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</si>
  <si>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</si>
  <si>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</si>
  <si>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</si>
  <si>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</si>
  <si>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</si>
  <si>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</si>
  <si>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</si>
  <si>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</si>
  <si>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</si>
  <si>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</si>
  <si>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</si>
  <si>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</si>
  <si>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</si>
  <si>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</si>
  <si>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</si>
  <si>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</si>
  <si>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</si>
  <si>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</si>
  <si>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</si>
  <si>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</si>
  <si>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</si>
  <si>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</si>
  <si>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</si>
  <si>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</si>
  <si>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</si>
  <si>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</si>
  <si>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</si>
  <si>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</si>
  <si>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</si>
  <si>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</si>
  <si>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</si>
  <si>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</si>
  <si>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</si>
  <si>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</si>
  <si>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</si>
  <si>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</si>
  <si>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</si>
  <si>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</si>
  <si>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</si>
  <si>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</si>
  <si>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</si>
  <si>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</si>
  <si>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</si>
  <si>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</si>
  <si>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</si>
  <si>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</si>
  <si>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</si>
  <si>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</si>
  <si>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</si>
  <si>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</si>
  <si>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</si>
  <si>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</si>
  <si>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</si>
  <si>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</si>
  <si>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</si>
  <si>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</si>
  <si>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</si>
  <si>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</si>
  <si>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</si>
  <si>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</si>
  <si>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</si>
  <si>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</si>
  <si>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</si>
  <si>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</si>
  <si>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</si>
  <si>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</si>
  <si>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</si>
  <si>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</si>
  <si>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</si>
  <si>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</si>
  <si>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</si>
  <si>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</si>
  <si>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</si>
  <si>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</si>
  <si>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</si>
  <si>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</si>
  <si>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</si>
  <si>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</si>
  <si>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</si>
  <si>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</si>
  <si>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</si>
  <si>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</si>
  <si>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</si>
  <si>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</si>
  <si>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</si>
  <si>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</si>
  <si>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</si>
  <si>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</si>
  <si>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</si>
  <si>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</si>
  <si>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</si>
  <si>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</si>
  <si>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</si>
  <si>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</si>
  <si>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</si>
  <si>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</si>
  <si>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</si>
  <si>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</si>
  <si>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</si>
  <si>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</si>
  <si>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</si>
  <si>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</si>
  <si>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</si>
  <si>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</si>
  <si>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</si>
  <si>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</si>
  <si>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</si>
  <si>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</si>
  <si>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</si>
  <si>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</si>
  <si>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</si>
  <si>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</si>
  <si>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</si>
  <si>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</si>
  <si>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</si>
  <si>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</si>
  <si>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</si>
  <si>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</si>
  <si>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</si>
  <si>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</si>
  <si>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</si>
  <si>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</si>
  <si>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</si>
  <si>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</si>
  <si>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</si>
  <si>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</si>
  <si>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</si>
  <si>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</si>
  <si>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</si>
  <si>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</si>
  <si>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</si>
  <si>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</si>
  <si>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</si>
  <si>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</si>
  <si>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</si>
  <si>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</si>
  <si>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</si>
  <si>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</si>
  <si>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</si>
  <si>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</si>
  <si>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</si>
  <si>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</si>
  <si>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</si>
  <si>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</si>
  <si>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</si>
  <si>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</si>
  <si>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</si>
  <si>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</si>
  <si>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</si>
  <si>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</si>
  <si>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</si>
  <si>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</si>
  <si>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</si>
  <si>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</si>
  <si>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</si>
  <si>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</si>
  <si>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</si>
  <si>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</si>
  <si>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</si>
  <si>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</si>
  <si>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</si>
  <si>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</si>
  <si>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</si>
  <si>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</si>
  <si>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</si>
  <si>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</si>
  <si>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</si>
  <si>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</si>
  <si>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</si>
  <si>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</si>
  <si>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</si>
  <si>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</si>
  <si>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</si>
  <si>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</si>
  <si>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</si>
  <si>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</si>
  <si>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</si>
  <si>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</si>
  <si>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</si>
  <si>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</si>
  <si>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</si>
  <si>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</si>
  <si>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</si>
  <si>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</si>
  <si>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</si>
  <si>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</si>
  <si>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</si>
  <si>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</si>
  <si>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</si>
  <si>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</si>
  <si>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</si>
  <si>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</si>
  <si>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</si>
  <si>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</si>
  <si>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</si>
  <si>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</si>
  <si>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</si>
  <si>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</si>
  <si>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</si>
  <si>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</si>
  <si>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</si>
  <si>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</si>
  <si>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</si>
  <si>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</si>
  <si>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</si>
  <si>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</si>
  <si>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</si>
  <si>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</si>
  <si>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</si>
  <si>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</si>
  <si>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</si>
  <si>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</si>
  <si>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</si>
  <si>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</si>
  <si>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</si>
  <si>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</si>
  <si>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</si>
  <si>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</si>
  <si>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</si>
  <si>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</si>
  <si>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</si>
  <si>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</si>
  <si>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</si>
  <si>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</si>
  <si>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</si>
  <si>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</si>
  <si>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</si>
  <si>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</si>
  <si>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</si>
  <si>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</si>
  <si>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</si>
  <si>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</si>
  <si>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</si>
  <si>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</si>
  <si>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</si>
  <si>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</si>
  <si>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</si>
  <si>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</si>
  <si>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</si>
  <si>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</si>
  <si>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</si>
  <si>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</si>
  <si>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</si>
  <si>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</si>
  <si>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</si>
  <si>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</si>
  <si>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</si>
  <si>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</si>
  <si>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</si>
  <si>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</si>
  <si>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</si>
  <si>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</si>
  <si>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</si>
  <si>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</si>
  <si>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</si>
  <si>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</si>
  <si>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</si>
  <si>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</si>
  <si>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</si>
  <si>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</si>
  <si>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</si>
  <si>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</si>
  <si>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</si>
  <si>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</si>
  <si>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</si>
  <si>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</si>
  <si>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</si>
  <si>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</si>
  <si>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</si>
  <si>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</si>
  <si>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</si>
  <si>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</si>
  <si>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</si>
  <si>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</si>
  <si>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</si>
  <si>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</si>
  <si>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</si>
  <si>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</si>
  <si>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</si>
  <si>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</si>
  <si>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</si>
  <si>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</si>
  <si>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</si>
  <si>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</si>
  <si>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</si>
  <si>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</si>
  <si>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</si>
  <si>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</si>
  <si>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</si>
  <si>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</si>
  <si>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</si>
  <si>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</si>
  <si>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</si>
  <si>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</si>
  <si>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</si>
  <si>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</si>
  <si>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</si>
  <si>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</si>
  <si>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</si>
  <si>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</si>
  <si>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</si>
  <si>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</si>
  <si>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</si>
  <si>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</si>
  <si>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</si>
  <si>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</si>
  <si>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</si>
  <si>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</si>
  <si>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</si>
  <si>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</si>
  <si>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</si>
  <si>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</si>
  <si>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</si>
  <si>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</si>
  <si>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</si>
  <si>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</si>
  <si>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</si>
  <si>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</si>
  <si>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</si>
  <si>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</si>
  <si>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</si>
  <si>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</si>
  <si>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</si>
  <si>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</si>
  <si>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</si>
  <si>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</si>
  <si>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</si>
  <si>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</si>
  <si>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</si>
  <si>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</si>
  <si>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</si>
  <si>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</si>
  <si>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</si>
  <si>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</si>
  <si>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</si>
  <si>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</si>
  <si>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</si>
  <si>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</si>
  <si>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</si>
  <si>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</si>
  <si>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</si>
  <si>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</si>
  <si>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</si>
  <si>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</si>
  <si>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</si>
  <si>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</si>
  <si>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</si>
  <si>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</si>
  <si>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</si>
  <si>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</si>
  <si>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</si>
  <si>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</si>
  <si>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</si>
  <si>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</si>
  <si>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</si>
  <si>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</si>
  <si>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</si>
  <si>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</si>
  <si>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</si>
  <si>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</si>
  <si>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</si>
  <si>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</si>
  <si>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</si>
  <si>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</si>
  <si>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</si>
  <si>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</si>
  <si>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</si>
  <si>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</si>
  <si>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</si>
  <si>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</si>
  <si>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</si>
  <si>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</si>
  <si>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</si>
  <si>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</si>
  <si>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</si>
  <si>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</si>
  <si>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</si>
  <si>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</si>
  <si>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</si>
  <si>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</si>
  <si>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</si>
  <si>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</si>
  <si>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</si>
  <si>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</si>
  <si>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</si>
  <si>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</si>
  <si>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</si>
  <si>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</si>
  <si>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</si>
  <si>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</si>
  <si>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</si>
  <si>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</si>
  <si>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</si>
  <si>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</si>
  <si>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</si>
  <si>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</si>
  <si>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</si>
  <si>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</si>
  <si>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</si>
  <si>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</si>
  <si>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</si>
  <si>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</si>
  <si>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</si>
  <si>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</si>
  <si>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</si>
  <si>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</si>
  <si>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</si>
  <si>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</si>
  <si>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</si>
  <si>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</si>
  <si>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</si>
  <si>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</si>
  <si>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</si>
  <si>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</si>
  <si>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</si>
  <si>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</si>
  <si>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</si>
  <si>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</si>
  <si>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</si>
  <si>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</si>
  <si>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</si>
  <si>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</si>
  <si>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</si>
  <si>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</si>
  <si>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</si>
  <si>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</si>
  <si>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</si>
  <si>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</si>
  <si>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</si>
  <si>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</si>
  <si>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</si>
  <si>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</si>
  <si>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</si>
  <si>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</si>
  <si>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</si>
  <si>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</si>
  <si>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</si>
  <si>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</si>
  <si>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</si>
  <si>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</si>
  <si>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</si>
  <si>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</si>
  <si>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</si>
  <si>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</si>
  <si>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</si>
  <si>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</si>
  <si>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</si>
  <si>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</si>
  <si>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</si>
  <si>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</si>
  <si>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</si>
  <si>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</si>
  <si>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</si>
  <si>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</si>
  <si>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</si>
  <si>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</si>
  <si>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</si>
  <si>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</si>
  <si>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</si>
  <si>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</si>
  <si>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</si>
  <si>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</si>
  <si>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</si>
  <si>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</si>
  <si>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</si>
  <si>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</si>
  <si>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</si>
  <si>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</si>
  <si>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</si>
  <si>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</si>
  <si>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</si>
  <si>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</si>
  <si>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</si>
  <si>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</si>
  <si>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</si>
  <si>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</si>
  <si>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</si>
  <si>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</si>
  <si>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</si>
  <si>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</si>
  <si>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</si>
  <si>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</si>
  <si>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</si>
  <si>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</si>
  <si>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</si>
  <si>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</si>
  <si>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</si>
  <si>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</si>
  <si>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</si>
  <si>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</si>
  <si>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</si>
  <si>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</si>
  <si>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</si>
  <si>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</si>
  <si>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</si>
  <si>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</si>
  <si>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</si>
  <si>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</si>
  <si>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</si>
  <si>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</si>
  <si>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</si>
  <si>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</si>
  <si>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</si>
  <si>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</si>
  <si>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</si>
  <si>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</si>
  <si>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</si>
  <si>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</si>
  <si>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</si>
  <si>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</si>
  <si>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</si>
  <si>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</si>
  <si>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</si>
  <si>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</si>
  <si>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</si>
  <si>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</si>
  <si>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</si>
  <si>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</si>
  <si>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</si>
  <si>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</si>
  <si>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</si>
  <si>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</si>
  <si>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</si>
  <si>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</si>
  <si>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</si>
  <si>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</si>
  <si>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</si>
  <si>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</si>
  <si>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</si>
  <si>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</si>
  <si>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</si>
  <si>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</si>
  <si>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</si>
  <si>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</si>
  <si>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</si>
  <si>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</si>
  <si>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</si>
  <si>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</si>
  <si>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</si>
  <si>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</si>
  <si>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</si>
  <si>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</si>
  <si>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</si>
  <si>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</si>
  <si>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</si>
  <si>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</si>
  <si>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</si>
  <si>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</si>
  <si>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</si>
  <si>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</si>
  <si>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</si>
  <si>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</si>
  <si>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</si>
  <si>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</si>
  <si>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</si>
  <si>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</si>
  <si>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</si>
  <si>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</si>
  <si>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</si>
  <si>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</si>
  <si>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</si>
  <si>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</si>
  <si>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</si>
  <si>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</si>
  <si>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</si>
  <si>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</si>
  <si>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</si>
  <si>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</si>
  <si>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</si>
  <si>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</si>
  <si>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</si>
  <si>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</si>
  <si>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</si>
  <si>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</si>
  <si>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</si>
  <si>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</si>
  <si>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</si>
  <si>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</si>
  <si>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</si>
  <si>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</si>
  <si>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</si>
  <si>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</si>
  <si>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</si>
  <si>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</si>
  <si>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</si>
  <si>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</si>
  <si>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</si>
  <si>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</si>
  <si>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</si>
  <si>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</si>
  <si>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</si>
  <si>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</si>
  <si>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</si>
  <si>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</si>
  <si>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</si>
  <si>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</si>
  <si>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</si>
  <si>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</si>
  <si>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</si>
  <si>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</si>
  <si>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</si>
  <si>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</si>
  <si>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</si>
  <si>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</si>
  <si>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</si>
  <si>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</si>
  <si>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</si>
  <si>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</si>
  <si>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</si>
  <si>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</si>
  <si>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</si>
  <si>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</si>
  <si>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</si>
  <si>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</si>
  <si>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</si>
  <si>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</si>
  <si>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</si>
  <si>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</si>
  <si>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</si>
  <si>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</si>
  <si>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</si>
  <si>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</si>
  <si>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</si>
  <si>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</si>
  <si>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</si>
  <si>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</si>
  <si>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</si>
  <si>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</si>
  <si>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</si>
  <si>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</si>
  <si>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</si>
  <si>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</si>
  <si>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</si>
  <si>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</si>
  <si>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</si>
  <si>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</si>
  <si>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</si>
  <si>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</si>
  <si>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</si>
  <si>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</si>
  <si>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</si>
  <si>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</si>
  <si>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</si>
  <si>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</si>
  <si>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</si>
  <si>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</si>
  <si>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</si>
  <si>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</si>
  <si>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</si>
  <si>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</si>
  <si>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</si>
  <si>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</si>
  <si>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</si>
  <si>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</si>
  <si>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</si>
  <si>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</si>
  <si>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</si>
  <si>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</si>
  <si>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</si>
  <si>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</si>
  <si>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</si>
  <si>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</si>
  <si>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</si>
  <si>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</si>
  <si>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</si>
  <si>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</si>
  <si>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</si>
  <si>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</si>
  <si>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</si>
  <si>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</si>
  <si>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</si>
  <si>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</si>
  <si>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</si>
  <si>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</si>
  <si>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</si>
  <si>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</si>
  <si>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</si>
  <si>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</si>
  <si>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</si>
  <si>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</si>
  <si>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</si>
  <si>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</si>
  <si>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</si>
  <si>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</si>
  <si>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</si>
  <si>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</si>
  <si>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</si>
  <si>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</si>
  <si>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</si>
  <si>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</si>
  <si>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</si>
  <si>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</si>
  <si>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</si>
  <si>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</si>
  <si>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</si>
  <si>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</si>
  <si>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</si>
  <si>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</si>
  <si>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</si>
  <si>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</si>
  <si>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</si>
  <si>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</si>
  <si>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</si>
  <si>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</si>
  <si>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</si>
  <si>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</si>
  <si>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</si>
  <si>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</si>
  <si>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</si>
  <si>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</si>
  <si>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</si>
  <si>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</si>
  <si>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</si>
  <si>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</si>
  <si>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</si>
  <si>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</si>
  <si>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</si>
  <si>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</si>
  <si>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</si>
  <si>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</si>
  <si>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</si>
  <si>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</si>
  <si>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</si>
  <si>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</si>
  <si>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</si>
  <si>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</si>
  <si>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</si>
  <si>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</si>
  <si>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</si>
  <si>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</si>
  <si>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</si>
  <si>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</si>
  <si>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</si>
  <si>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</si>
  <si>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</si>
  <si>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</si>
  <si>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</si>
  <si>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</si>
  <si>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</si>
  <si>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</si>
  <si>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</si>
  <si>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</si>
  <si>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</si>
  <si>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</si>
  <si>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</si>
  <si>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</si>
  <si>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</si>
  <si>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</si>
  <si>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</si>
  <si>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</si>
  <si>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</si>
  <si>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</si>
  <si>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</si>
  <si>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</si>
  <si>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</si>
  <si>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</si>
  <si>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</si>
  <si>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</si>
  <si>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</si>
  <si>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</si>
  <si>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</si>
  <si>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</si>
  <si>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</si>
  <si>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</si>
  <si>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</si>
  <si>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</si>
  <si>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</si>
  <si>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</si>
  <si>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</si>
  <si>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</si>
  <si>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</si>
  <si>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</si>
  <si>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</si>
  <si>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</si>
  <si>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</si>
  <si>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</si>
  <si>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</si>
  <si>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</si>
  <si>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</si>
  <si>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</si>
  <si>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</si>
  <si>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</si>
  <si>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</si>
  <si>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</si>
  <si>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</si>
  <si>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</si>
  <si>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</si>
  <si>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</si>
  <si>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</si>
  <si>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</si>
  <si>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</si>
  <si>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</si>
  <si>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</si>
  <si>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</si>
  <si>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</si>
  <si>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</si>
  <si>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</si>
  <si>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</si>
  <si>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</si>
  <si>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</si>
  <si>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</si>
  <si>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</si>
  <si>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</si>
  <si>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</si>
  <si>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</si>
  <si>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</si>
  <si>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</si>
  <si>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</si>
  <si>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</si>
  <si>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</si>
  <si>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</si>
  <si>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</si>
  <si>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</si>
  <si>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</si>
  <si>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</si>
  <si>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</si>
  <si>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</si>
  <si>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</si>
  <si>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</si>
  <si>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</si>
  <si>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</si>
  <si>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</si>
  <si>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</si>
  <si>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</si>
  <si>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</si>
  <si>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</si>
  <si>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</si>
  <si>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</si>
  <si>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</si>
  <si>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</si>
  <si>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</si>
  <si>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</si>
  <si>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</si>
  <si>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</si>
  <si>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</si>
  <si>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</si>
  <si>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</si>
  <si>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</si>
  <si>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</si>
  <si>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</si>
  <si>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</si>
  <si>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</si>
  <si>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</si>
  <si>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</si>
  <si>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</si>
  <si>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</si>
  <si>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</si>
  <si>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</si>
  <si>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</si>
  <si>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</si>
  <si>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</si>
  <si>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</si>
  <si>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</si>
  <si>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</si>
  <si>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</si>
  <si>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</si>
  <si>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</si>
  <si>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</si>
  <si>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</si>
  <si>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</si>
  <si>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</si>
  <si>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</si>
  <si>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</si>
  <si>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</si>
  <si>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</si>
  <si>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</si>
  <si>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</si>
  <si>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</si>
  <si>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</si>
  <si>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</si>
  <si>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</si>
  <si>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</si>
  <si>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</si>
  <si>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</si>
  <si>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</si>
  <si>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</si>
  <si>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</si>
  <si>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</si>
  <si>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</si>
  <si>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</si>
  <si>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</si>
  <si>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</si>
  <si>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</si>
  <si>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</si>
  <si>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</si>
  <si>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</si>
  <si>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</si>
  <si>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</si>
  <si>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</si>
  <si>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</si>
  <si>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</si>
  <si>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</si>
  <si>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</si>
  <si>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</si>
  <si>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</si>
  <si>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</si>
  <si>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</si>
  <si>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</si>
  <si>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</si>
  <si>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</si>
  <si>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</si>
  <si>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</si>
  <si>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</si>
  <si>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</si>
  <si>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</si>
  <si>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</si>
  <si>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</si>
  <si>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</si>
  <si>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</si>
  <si>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</si>
  <si>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</si>
  <si>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</si>
  <si>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</si>
  <si>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</si>
  <si>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</si>
  <si>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</si>
  <si>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</si>
  <si>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</si>
  <si>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</si>
  <si>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</si>
  <si>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</si>
  <si>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</si>
  <si>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</si>
  <si>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</si>
  <si>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</si>
  <si>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</si>
  <si>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</si>
  <si>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</si>
  <si>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</si>
  <si>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</si>
  <si>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</si>
  <si>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</si>
  <si>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</si>
  <si>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</si>
  <si>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</si>
  <si>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</si>
  <si>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</si>
  <si>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</si>
  <si>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</si>
  <si>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</si>
  <si>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</si>
  <si>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</si>
  <si>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</si>
  <si>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</si>
  <si>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</si>
  <si>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</si>
  <si>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</si>
  <si>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</si>
  <si>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</si>
  <si>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</si>
  <si>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</si>
  <si>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</si>
  <si>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</si>
  <si>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</si>
  <si>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</si>
  <si>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</si>
  <si>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</si>
  <si>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</si>
  <si>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</si>
  <si>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</si>
  <si>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</si>
  <si>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</si>
  <si>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</si>
  <si>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</si>
  <si>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</si>
  <si>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</si>
  <si>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</si>
  <si>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</si>
  <si>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</si>
  <si>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</si>
  <si>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</si>
  <si>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</si>
  <si>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</si>
  <si>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</si>
  <si>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</si>
  <si>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</si>
  <si>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</si>
  <si>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</si>
  <si>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</si>
  <si>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</si>
  <si>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</si>
  <si>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</si>
  <si>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</si>
  <si>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</si>
  <si>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</si>
  <si>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</si>
  <si>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</si>
  <si>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</si>
  <si>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</si>
  <si>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</si>
  <si>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</si>
  <si>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</si>
  <si>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</si>
  <si>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</si>
  <si>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</si>
  <si>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</si>
  <si>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</si>
  <si>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</si>
  <si>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</si>
  <si>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</si>
  <si>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</si>
  <si>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</si>
  <si>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</si>
  <si>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</si>
  <si>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</si>
  <si>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</si>
  <si>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</si>
  <si>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</si>
  <si>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</si>
  <si>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</si>
  <si>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</si>
  <si>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</si>
  <si>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</si>
  <si>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</si>
  <si>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</si>
  <si>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</si>
  <si>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</si>
  <si>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</si>
  <si>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</si>
  <si>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</si>
  <si>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</si>
  <si>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</si>
  <si>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</si>
  <si>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</si>
  <si>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</si>
  <si>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</si>
  <si>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</si>
  <si>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</si>
  <si>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</si>
  <si>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</si>
  <si>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</si>
  <si>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</si>
  <si>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</si>
  <si>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</si>
  <si>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</si>
  <si>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</si>
  <si>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</si>
  <si>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</si>
  <si>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</si>
  <si>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</si>
  <si>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</si>
  <si>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</si>
  <si>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</si>
  <si>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</si>
  <si>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</si>
  <si>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</si>
  <si>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</si>
  <si>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</si>
  <si>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</si>
  <si>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</si>
  <si>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</si>
  <si>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</si>
  <si>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</si>
  <si>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</si>
  <si>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</si>
  <si>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</si>
  <si>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</si>
  <si>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</si>
  <si>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</si>
  <si>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</si>
  <si>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</si>
  <si>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</si>
  <si>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</si>
  <si>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</si>
  <si>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</si>
  <si>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</si>
  <si>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</si>
  <si>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</si>
  <si>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</si>
  <si>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</si>
  <si>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</si>
  <si>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</si>
  <si>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</si>
  <si>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</si>
  <si>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</si>
  <si>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</si>
  <si>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</si>
  <si>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</si>
  <si>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</si>
  <si>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</si>
  <si>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</si>
  <si>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</si>
  <si>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</si>
  <si>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</si>
  <si>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</si>
  <si>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</si>
  <si>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</si>
  <si>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</si>
  <si>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</si>
  <si>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</si>
  <si>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</si>
  <si>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</si>
  <si>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</si>
  <si>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</si>
  <si>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</si>
  <si>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</si>
  <si>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</si>
  <si>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</si>
  <si>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</si>
  <si>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</si>
  <si>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</si>
  <si>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</si>
  <si>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</si>
  <si>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</si>
  <si>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</si>
  <si>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</si>
  <si>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</si>
  <si>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</si>
  <si>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</si>
  <si>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</si>
  <si>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</si>
  <si>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</si>
  <si>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</si>
  <si>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</si>
  <si>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</si>
  <si>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</si>
  <si>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</si>
  <si>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</si>
  <si>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</si>
  <si>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</si>
  <si>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</si>
  <si>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</si>
  <si>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</si>
  <si>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</si>
  <si>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</si>
  <si>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</si>
  <si>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</si>
  <si>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</si>
  <si>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</si>
  <si>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</si>
  <si>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</si>
  <si>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</si>
  <si>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</si>
  <si>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</si>
  <si>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</si>
  <si>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</si>
  <si>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</si>
  <si>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</si>
  <si>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</si>
  <si>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</si>
  <si>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</si>
  <si>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</si>
  <si>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</si>
  <si>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</si>
  <si>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</si>
  <si>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</si>
  <si>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</si>
  <si>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</si>
  <si>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</si>
  <si>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</si>
  <si>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</si>
  <si>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</si>
  <si>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</si>
  <si>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</si>
  <si>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</si>
  <si>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</si>
  <si>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</si>
  <si>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</si>
  <si>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</si>
  <si>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</si>
  <si>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</si>
  <si>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</si>
  <si>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</si>
  <si>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</si>
  <si>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</si>
  <si>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</si>
  <si>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</si>
  <si>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</si>
  <si>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</si>
  <si>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</si>
  <si>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</si>
  <si>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</si>
  <si>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</si>
  <si>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</si>
  <si>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</si>
  <si>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</si>
  <si>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</si>
  <si>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</si>
  <si>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</si>
  <si>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</si>
  <si>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</si>
  <si>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</si>
  <si>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</si>
  <si>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</si>
  <si>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</si>
  <si>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</si>
  <si>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</si>
  <si>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</si>
  <si>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</si>
  <si>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</si>
  <si>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</si>
  <si>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</si>
  <si>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</si>
  <si>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</si>
  <si>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</si>
  <si>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</si>
  <si>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</si>
  <si>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</si>
  <si>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</si>
  <si>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</si>
  <si>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</si>
  <si>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</si>
  <si>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</si>
  <si>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</si>
  <si>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</si>
  <si>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</si>
  <si>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</si>
  <si>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</si>
  <si>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</si>
  <si>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</si>
  <si>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</si>
  <si>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</si>
  <si>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</si>
  <si>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</si>
  <si>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</si>
  <si>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</si>
  <si>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</si>
  <si>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</si>
  <si>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</si>
  <si>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</si>
  <si>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</si>
  <si>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</si>
  <si>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</si>
  <si>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</si>
  <si>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</si>
  <si>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</si>
  <si>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</si>
  <si>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</si>
  <si>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</si>
  <si>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</si>
  <si>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</si>
  <si>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</si>
  <si>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</si>
  <si>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</si>
  <si>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</si>
  <si>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</si>
  <si>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</si>
  <si>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</si>
  <si>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</si>
  <si>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</si>
  <si>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</si>
  <si>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</si>
  <si>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</si>
  <si>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</si>
  <si>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</si>
  <si>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</si>
  <si>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</si>
  <si>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</si>
  <si>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</si>
  <si>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</si>
  <si>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</si>
  <si>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</si>
  <si>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</si>
  <si>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</si>
  <si>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</si>
  <si>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</si>
  <si>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</si>
  <si>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</si>
  <si>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</si>
  <si>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</si>
  <si>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</si>
  <si>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</si>
  <si>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</si>
  <si>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</si>
  <si>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</si>
  <si>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</si>
  <si>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</si>
  <si>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</si>
  <si>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</si>
  <si>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</si>
  <si>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</si>
  <si>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</si>
  <si>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</si>
  <si>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</si>
  <si>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</si>
  <si>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</si>
  <si>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</si>
  <si>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</si>
  <si>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</si>
  <si>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</si>
  <si>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</si>
  <si>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</si>
  <si>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</si>
  <si>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</si>
  <si>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</si>
  <si>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</si>
  <si>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</si>
  <si>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</si>
  <si>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</si>
  <si>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</si>
  <si>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</si>
  <si>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</si>
  <si>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</si>
  <si>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</si>
  <si>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</si>
  <si>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</si>
  <si>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</si>
  <si>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</si>
  <si>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</si>
  <si>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</si>
  <si>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</si>
  <si>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</si>
  <si>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</si>
  <si>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</si>
  <si>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</si>
  <si>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</si>
  <si>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</si>
  <si>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</si>
  <si>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</si>
  <si>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</si>
  <si>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</si>
  <si>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</si>
  <si>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</si>
  <si>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</si>
  <si>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</si>
  <si>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</si>
  <si>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</si>
  <si>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</si>
  <si>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</si>
  <si>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</si>
  <si>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</si>
  <si>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</si>
  <si>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</si>
  <si>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</si>
  <si>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</si>
  <si>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</si>
  <si>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</si>
  <si>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</si>
  <si>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</si>
  <si>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</si>
  <si>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</si>
  <si>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</si>
  <si>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</si>
  <si>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</si>
  <si>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</si>
  <si>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</si>
  <si>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</si>
  <si>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</si>
  <si>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</si>
  <si>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</si>
  <si>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</si>
  <si>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</si>
  <si>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</si>
  <si>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</si>
  <si>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</si>
  <si>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</si>
  <si>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</si>
  <si>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</si>
  <si>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</si>
  <si>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</si>
  <si>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</si>
  <si>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</si>
  <si>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</si>
  <si>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</si>
  <si>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</si>
  <si>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</si>
  <si>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</si>
  <si>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</si>
  <si>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</si>
  <si>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</si>
  <si>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</si>
  <si>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</si>
  <si>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</si>
  <si>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</si>
  <si>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</si>
  <si>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</si>
  <si>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</si>
  <si>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</si>
  <si>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</si>
  <si>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</si>
  <si>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</si>
  <si>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</si>
  <si>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</si>
  <si>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</si>
  <si>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</si>
  <si>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</si>
  <si>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</si>
  <si>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</si>
  <si>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</si>
  <si>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</si>
  <si>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</si>
  <si>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</si>
  <si>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</si>
  <si>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</si>
  <si>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</si>
  <si>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</si>
  <si>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</si>
  <si>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</si>
  <si>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</si>
  <si>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</si>
  <si>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</si>
  <si>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</si>
  <si>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</si>
  <si>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</si>
  <si>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</si>
  <si>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</si>
  <si>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</si>
  <si>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</si>
  <si>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</si>
  <si>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</si>
  <si>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</si>
  <si>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</si>
  <si>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</si>
  <si>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</si>
  <si>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</si>
  <si>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</si>
  <si>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</si>
  <si>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</si>
  <si>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</si>
  <si>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</si>
  <si>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</si>
  <si>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</si>
  <si>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</si>
  <si>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</si>
  <si>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</si>
  <si>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</si>
  <si>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</si>
  <si>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</si>
  <si>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</si>
  <si>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</si>
  <si>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</si>
  <si>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</si>
  <si>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</si>
  <si>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</si>
  <si>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</si>
  <si>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</si>
  <si>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</si>
  <si>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</si>
  <si>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</si>
  <si>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</si>
  <si>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</si>
  <si>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</si>
  <si>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</si>
  <si>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</si>
  <si>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</si>
  <si>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</si>
  <si>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</si>
  <si>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</si>
  <si>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</si>
  <si>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</si>
  <si>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</si>
  <si>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</si>
  <si>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</si>
  <si>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</si>
  <si>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</si>
  <si>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</si>
  <si>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</si>
  <si>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</si>
  <si>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</si>
  <si>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</si>
  <si>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</si>
  <si>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</si>
  <si>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</si>
  <si>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</si>
  <si>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</si>
  <si>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</si>
  <si>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</si>
  <si>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</si>
  <si>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</si>
  <si>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</si>
  <si>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</si>
  <si>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</si>
  <si>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</si>
  <si>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</si>
  <si>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</si>
  <si>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</si>
  <si>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</si>
  <si>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</si>
  <si>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</si>
  <si>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</si>
  <si>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</si>
  <si>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</si>
  <si>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</si>
  <si>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</si>
  <si>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</si>
  <si>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</si>
  <si>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</si>
  <si>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</si>
  <si>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</si>
  <si>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</si>
  <si>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</si>
  <si>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</si>
  <si>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</si>
  <si>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</si>
  <si>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</si>
  <si>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</si>
  <si>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</si>
  <si>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</si>
  <si>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</si>
  <si>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</si>
  <si>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</si>
  <si>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</si>
  <si>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</si>
  <si>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</si>
  <si>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</si>
  <si>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</si>
  <si>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</si>
  <si>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</si>
  <si>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</si>
  <si>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</si>
  <si>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</si>
  <si>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</si>
  <si>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</si>
  <si>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</si>
  <si>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</si>
  <si>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</si>
  <si>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</si>
  <si>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</si>
  <si>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</si>
  <si>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</si>
  <si>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</si>
  <si>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</si>
  <si>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</si>
  <si>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</si>
  <si>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</si>
  <si>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</si>
  <si>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</si>
  <si>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</si>
  <si>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</si>
  <si>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</si>
  <si>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</si>
  <si>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</si>
  <si>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</si>
  <si>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</si>
  <si>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</si>
  <si>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</si>
  <si>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</si>
  <si>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</si>
  <si>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</si>
  <si>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</si>
  <si>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</si>
  <si>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</si>
  <si>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</si>
  <si>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</si>
  <si>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</si>
  <si>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</si>
  <si>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</si>
  <si>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</si>
  <si>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</si>
  <si>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</si>
  <si>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</si>
  <si>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</si>
  <si>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</si>
  <si>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</si>
  <si>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</si>
  <si>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</si>
  <si>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</si>
  <si>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</si>
  <si>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</si>
  <si>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</si>
  <si>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</si>
  <si>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</si>
  <si>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</si>
  <si>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</si>
  <si>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</si>
  <si>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</si>
  <si>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</si>
  <si>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</si>
  <si>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</si>
  <si>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</si>
  <si>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</si>
  <si>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</si>
  <si>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</si>
  <si>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</si>
  <si>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</si>
  <si>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</si>
  <si>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</si>
  <si>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</si>
  <si>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</si>
  <si>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</si>
  <si>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</si>
  <si>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</si>
  <si>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</si>
  <si>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</si>
  <si>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</si>
  <si>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</si>
  <si>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</si>
  <si>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</si>
  <si>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</si>
  <si>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</si>
  <si>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</si>
  <si>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</si>
  <si>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</si>
  <si>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</si>
  <si>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</si>
  <si>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</si>
  <si>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</si>
  <si>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</si>
  <si>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</si>
  <si>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</si>
  <si>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</si>
  <si>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</si>
  <si>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</si>
  <si>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</si>
  <si>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</si>
  <si>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</si>
  <si>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</si>
  <si>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</si>
  <si>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</si>
  <si>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</si>
  <si>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</si>
  <si>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</si>
  <si>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</si>
  <si>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</si>
  <si>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</si>
  <si>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</si>
  <si>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</si>
  <si>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</si>
  <si>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</si>
  <si>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</si>
  <si>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</si>
  <si>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</si>
  <si>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</si>
  <si>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</si>
  <si>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</si>
  <si>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</si>
  <si>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</si>
  <si>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</si>
  <si>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</si>
  <si>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</si>
  <si>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</si>
  <si>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</si>
  <si>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</si>
  <si>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</si>
  <si>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</si>
  <si>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</si>
  <si>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</si>
  <si>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</si>
  <si>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</si>
  <si>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</si>
  <si>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</si>
  <si>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</si>
  <si>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</si>
  <si>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</si>
  <si>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</si>
  <si>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</si>
  <si>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</si>
  <si>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</si>
  <si>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</si>
  <si>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</si>
  <si>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</si>
  <si>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</si>
  <si>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</si>
  <si>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</si>
  <si>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</si>
  <si>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</si>
  <si>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</si>
  <si>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</si>
  <si>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</si>
  <si>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</si>
  <si>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</si>
  <si>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</si>
  <si>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</si>
  <si>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</si>
  <si>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</si>
  <si>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</si>
  <si>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</si>
  <si>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</si>
  <si>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</si>
  <si>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</si>
  <si>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</si>
  <si>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</si>
  <si>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</si>
  <si>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</si>
  <si>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</si>
  <si>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</si>
  <si>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</si>
  <si>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</si>
  <si>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</si>
  <si>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</si>
  <si>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</si>
  <si>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</si>
  <si>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</si>
  <si>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</si>
  <si>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</si>
  <si>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</si>
  <si>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</si>
  <si>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</si>
  <si>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</si>
  <si>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</si>
  <si>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</si>
  <si>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</si>
  <si>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</si>
  <si>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</si>
  <si>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</si>
  <si>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</si>
  <si>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</si>
  <si>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</si>
  <si>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</si>
  <si>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</si>
  <si>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</si>
  <si>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</si>
  <si>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</si>
  <si>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</si>
  <si>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</si>
  <si>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</si>
  <si>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</si>
  <si>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</si>
  <si>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</si>
  <si>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</si>
  <si>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</si>
  <si>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</si>
  <si>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</si>
  <si>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</si>
  <si>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</si>
  <si>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</si>
  <si>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</si>
  <si>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</si>
  <si>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</si>
  <si>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</si>
  <si>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</si>
  <si>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</si>
  <si>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</si>
  <si>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</si>
  <si>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</si>
  <si>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</si>
  <si>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</si>
  <si>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</si>
  <si>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</si>
  <si>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</si>
  <si>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</si>
  <si>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</si>
  <si>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</si>
  <si>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</si>
  <si>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</si>
  <si>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</si>
  <si>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</si>
  <si>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</si>
  <si>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</si>
  <si>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</si>
  <si>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</si>
  <si>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</si>
  <si>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</si>
  <si>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</si>
  <si>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</si>
  <si>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</si>
  <si>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</si>
  <si>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</si>
  <si>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</si>
  <si>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</si>
  <si>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</si>
  <si>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</si>
  <si>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</si>
  <si>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</si>
  <si>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</si>
  <si>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</si>
  <si>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</si>
  <si>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</si>
  <si>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</si>
  <si>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</si>
  <si>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</si>
  <si>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</si>
  <si>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</si>
  <si>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</si>
  <si>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</si>
  <si>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</si>
  <si>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</si>
  <si>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</si>
  <si>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</si>
  <si>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</si>
  <si>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</si>
  <si>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</si>
  <si>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</si>
  <si>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</si>
  <si>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</si>
  <si>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</si>
  <si>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</si>
  <si>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</si>
  <si>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</si>
  <si>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</si>
  <si>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</si>
  <si>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</si>
  <si>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</si>
  <si>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</si>
  <si>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</si>
  <si>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</si>
  <si>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</si>
  <si>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</si>
  <si>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</si>
  <si>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</si>
  <si>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</si>
  <si>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</si>
  <si>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</si>
  <si>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</si>
  <si>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</si>
  <si>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</si>
  <si>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</si>
  <si>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</si>
  <si>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</si>
  <si>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</si>
  <si>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</si>
  <si>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</si>
  <si>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</si>
  <si>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</si>
  <si>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</si>
  <si>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</si>
  <si>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</si>
  <si>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</si>
  <si>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</si>
  <si>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</si>
  <si>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</si>
  <si>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</si>
  <si>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</si>
  <si>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</si>
  <si>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</si>
  <si>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</si>
  <si>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</si>
  <si>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</si>
  <si>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</si>
  <si>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</si>
  <si>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</si>
  <si>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</si>
  <si>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</si>
  <si>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</si>
  <si>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</si>
  <si>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</si>
  <si>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</si>
  <si>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</si>
  <si>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</si>
  <si>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</si>
  <si>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</si>
  <si>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</si>
  <si>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</si>
  <si>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</si>
  <si>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</si>
  <si>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</si>
  <si>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</si>
  <si>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</si>
  <si>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</si>
  <si>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</si>
  <si>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</si>
  <si>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</si>
  <si>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</si>
  <si>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</si>
  <si>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</si>
  <si>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</si>
  <si>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</si>
  <si>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</si>
  <si>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</si>
  <si>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</si>
  <si>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</si>
  <si>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</si>
  <si>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</si>
  <si>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</si>
  <si>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</si>
  <si>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</si>
  <si>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</si>
  <si>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</si>
  <si>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</si>
  <si>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</si>
  <si>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</si>
  <si>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</si>
  <si>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</si>
  <si>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</si>
  <si>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</si>
  <si>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</si>
  <si>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</si>
  <si>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</si>
  <si>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</si>
  <si>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</si>
  <si>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</si>
  <si>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</si>
  <si>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</si>
  <si>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</si>
  <si>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</si>
  <si>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</si>
  <si>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</si>
  <si>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</si>
  <si>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</si>
  <si>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</si>
  <si>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</si>
  <si>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</si>
  <si>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</si>
  <si>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</si>
  <si>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</si>
  <si>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</si>
  <si>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</si>
  <si>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</si>
  <si>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</si>
  <si>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</si>
  <si>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</si>
  <si>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</si>
  <si>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</si>
  <si>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</si>
  <si>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</si>
  <si>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</si>
  <si>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</si>
  <si>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</si>
  <si>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</si>
  <si>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</si>
  <si>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</si>
  <si>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</si>
  <si>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</si>
  <si>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</si>
  <si>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</si>
  <si>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</si>
  <si>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</si>
  <si>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</si>
  <si>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</si>
  <si>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</si>
  <si>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</si>
  <si>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</si>
  <si>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</si>
  <si>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</si>
  <si>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</si>
  <si>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</si>
  <si>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</si>
  <si>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</si>
  <si>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</si>
  <si>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</si>
  <si>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</si>
  <si>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</si>
  <si>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</si>
  <si>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</si>
  <si>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</si>
  <si>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</si>
  <si>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</si>
  <si>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</si>
  <si>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</si>
  <si>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</si>
  <si>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</si>
  <si>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</si>
  <si>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</si>
  <si>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</si>
  <si>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</si>
  <si>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</si>
  <si>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</si>
  <si>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</si>
  <si>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</si>
  <si>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</si>
  <si>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</si>
  <si>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</si>
  <si>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</si>
  <si>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</si>
  <si>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</si>
  <si>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</si>
  <si>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</si>
  <si>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</si>
  <si>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</si>
  <si>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</si>
  <si>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</si>
  <si>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</si>
  <si>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</si>
  <si>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</si>
  <si>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</si>
  <si>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</si>
  <si>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</si>
  <si>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</si>
  <si>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</si>
  <si>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</si>
  <si>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</si>
  <si>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</si>
  <si>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</si>
  <si>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</si>
  <si>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</si>
  <si>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</si>
  <si>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</si>
  <si>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</si>
  <si>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</si>
  <si>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</si>
  <si>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</si>
  <si>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</si>
  <si>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</si>
  <si>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</si>
  <si>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</si>
  <si>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</si>
  <si>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</si>
  <si>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</si>
  <si>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</si>
  <si>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</si>
  <si>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</si>
  <si>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</si>
  <si>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</si>
  <si>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</si>
  <si>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</si>
  <si>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</si>
  <si>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</si>
  <si>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</si>
  <si>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</si>
  <si>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</si>
  <si>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</si>
  <si>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</si>
  <si>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</si>
  <si>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</si>
  <si>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</si>
  <si>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</si>
  <si>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</si>
  <si>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</si>
  <si>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</si>
  <si>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</si>
  <si>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</si>
  <si>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</si>
  <si>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</si>
  <si>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</si>
  <si>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</si>
  <si>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</si>
  <si>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</si>
  <si>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</si>
  <si>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</si>
  <si>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</si>
  <si>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</si>
  <si>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</si>
  <si>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</si>
  <si>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</si>
  <si>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</si>
  <si>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</si>
  <si>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</si>
  <si>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</si>
  <si>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</si>
  <si>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</si>
  <si>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</si>
  <si>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</si>
  <si>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</si>
  <si>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</si>
  <si>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</si>
  <si>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</si>
  <si>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</si>
  <si>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</si>
  <si>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</si>
  <si>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</si>
  <si>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</si>
  <si>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</si>
  <si>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</si>
  <si>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</si>
  <si>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</si>
  <si>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</si>
  <si>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</si>
  <si>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</si>
  <si>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</si>
  <si>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</si>
  <si>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</si>
  <si>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</si>
  <si>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</si>
  <si>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</si>
  <si>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</si>
  <si>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</si>
  <si>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</si>
  <si>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</si>
  <si>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</si>
  <si>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</si>
  <si>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</si>
  <si>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</si>
  <si>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</si>
  <si>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</si>
  <si>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</si>
  <si>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</si>
  <si>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</si>
  <si>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</si>
  <si>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</si>
  <si>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</si>
  <si>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</si>
  <si>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</si>
  <si>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</si>
  <si>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</si>
  <si>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</si>
  <si>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</si>
  <si>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</si>
  <si>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</si>
  <si>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</si>
  <si>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</si>
  <si>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</si>
  <si>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</si>
  <si>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</si>
  <si>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</si>
  <si>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</si>
  <si>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</si>
  <si>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</si>
  <si>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</si>
  <si>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</si>
  <si>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</si>
  <si>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</si>
  <si>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</si>
  <si>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</si>
  <si>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</si>
  <si>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</si>
  <si>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</si>
  <si>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</si>
  <si>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</si>
  <si>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</si>
  <si>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</si>
  <si>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</si>
  <si>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</si>
  <si>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</si>
  <si>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</si>
  <si>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</si>
  <si>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</si>
  <si>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</si>
  <si>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</si>
  <si>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</si>
  <si>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</si>
  <si>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</si>
  <si>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</si>
  <si>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</si>
  <si>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</si>
  <si>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</si>
  <si>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</si>
  <si>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</si>
  <si>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</si>
  <si>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</si>
  <si>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</si>
  <si>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</si>
  <si>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</si>
  <si>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</si>
  <si>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</si>
  <si>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</si>
  <si>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</si>
  <si>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</si>
  <si>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</si>
  <si>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</si>
  <si>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</si>
  <si>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</si>
  <si>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</si>
  <si>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</si>
  <si>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</si>
  <si>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</si>
  <si>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</si>
  <si>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</si>
  <si>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</si>
  <si>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</si>
  <si>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</si>
  <si>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</si>
  <si>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</si>
  <si>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</si>
  <si>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</si>
  <si>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</si>
  <si>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</si>
  <si>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</si>
  <si>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</si>
  <si>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</si>
  <si>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</si>
  <si>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</si>
  <si>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</si>
  <si>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</si>
  <si>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</si>
  <si>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</si>
  <si>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</si>
  <si>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</si>
  <si>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</si>
  <si>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</si>
  <si>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</si>
  <si>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</si>
  <si>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</si>
  <si>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</si>
  <si>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</si>
  <si>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</si>
  <si>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</si>
  <si>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</si>
  <si>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</si>
  <si>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</si>
  <si>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</si>
  <si>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</si>
  <si>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</si>
  <si>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</si>
  <si>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</si>
  <si>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</si>
  <si>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</si>
  <si>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</si>
  <si>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</si>
  <si>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</si>
  <si>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</si>
  <si>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</si>
  <si>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</si>
  <si>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</si>
  <si>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</si>
  <si>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</si>
  <si>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</si>
  <si>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</si>
  <si>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</si>
  <si>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</si>
  <si>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</si>
  <si>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</si>
  <si>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</si>
  <si>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</si>
  <si>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</si>
  <si>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</si>
  <si>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</si>
  <si>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</si>
  <si>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</si>
  <si>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</si>
  <si>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</si>
  <si>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</si>
  <si>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</si>
  <si>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</si>
  <si>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</si>
  <si>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</si>
  <si>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</si>
  <si>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</si>
  <si>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</si>
  <si>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</si>
  <si>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</si>
  <si>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</si>
  <si>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</si>
  <si>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</si>
  <si>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</si>
  <si>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</si>
  <si>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</si>
  <si>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</si>
  <si>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</si>
  <si>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</si>
  <si>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</si>
  <si>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</si>
  <si>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</si>
  <si>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</si>
  <si>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</si>
  <si>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</si>
  <si>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</si>
  <si>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</si>
  <si>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</si>
  <si>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</si>
  <si>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</si>
  <si>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</si>
  <si>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</si>
  <si>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</si>
  <si>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</si>
  <si>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</si>
  <si>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</si>
  <si>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</si>
  <si>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</si>
  <si>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</si>
  <si>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</si>
  <si>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</si>
  <si>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</si>
  <si>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</si>
  <si>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</si>
  <si>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</si>
  <si>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</si>
  <si>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</si>
  <si>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</si>
  <si>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</si>
  <si>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</si>
  <si>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</si>
  <si>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</si>
  <si>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</si>
  <si>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</si>
  <si>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</si>
  <si>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</si>
  <si>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</si>
  <si>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</si>
  <si>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</si>
  <si>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</si>
  <si>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</si>
  <si>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</si>
  <si>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</si>
  <si>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</si>
  <si>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</si>
  <si>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</si>
  <si>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</si>
  <si>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</si>
  <si>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</si>
  <si>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</si>
  <si>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</si>
  <si>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</si>
  <si>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</si>
  <si>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</si>
  <si>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</si>
  <si>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</si>
  <si>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</si>
  <si>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</si>
  <si>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</si>
  <si>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</si>
  <si>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</si>
  <si>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</si>
  <si>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</si>
  <si>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</si>
  <si>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</si>
  <si>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</si>
  <si>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</si>
  <si>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</si>
  <si>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</si>
  <si>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</si>
  <si>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</si>
  <si>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</si>
  <si>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</si>
  <si>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</si>
  <si>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</si>
  <si>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</si>
  <si>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</si>
  <si>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</si>
  <si>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</si>
  <si>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</si>
  <si>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</si>
  <si>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</si>
  <si>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</si>
  <si>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</si>
  <si>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</si>
  <si>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</si>
  <si>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</si>
  <si>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</si>
  <si>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</si>
  <si>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</si>
  <si>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</si>
  <si>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</si>
  <si>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</si>
  <si>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</si>
  <si>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</si>
  <si>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</si>
  <si>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</si>
  <si>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</si>
  <si>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</si>
  <si>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</si>
  <si>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</si>
  <si>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</si>
  <si>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</si>
  <si>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</si>
  <si>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</si>
  <si>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</si>
  <si>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</si>
  <si>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</si>
  <si>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</si>
  <si>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</si>
  <si>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</si>
  <si>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</si>
  <si>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</si>
  <si>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</si>
  <si>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</si>
  <si>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</si>
  <si>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</si>
  <si>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</si>
  <si>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</si>
  <si>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</si>
  <si>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</si>
  <si>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</si>
  <si>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</si>
  <si>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</si>
  <si>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</si>
  <si>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</si>
  <si>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</si>
  <si>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</si>
  <si>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</si>
  <si>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</si>
  <si>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</si>
  <si>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</si>
  <si>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</si>
  <si>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</si>
  <si>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</si>
  <si>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</si>
  <si>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</si>
  <si>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</si>
  <si>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</si>
  <si>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</si>
  <si>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</si>
  <si>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</si>
  <si>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</si>
  <si>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</si>
  <si>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</si>
  <si>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</si>
  <si>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</si>
  <si>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</si>
  <si>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</si>
  <si>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</si>
  <si>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</si>
  <si>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</si>
  <si>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</si>
  <si>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</si>
  <si>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</si>
  <si>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</si>
  <si>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</si>
  <si>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</si>
  <si>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</si>
  <si>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</si>
  <si>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</si>
  <si>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</si>
  <si>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</si>
  <si>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</si>
  <si>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</si>
  <si>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</si>
  <si>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</si>
  <si>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</si>
  <si>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</si>
  <si>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</si>
  <si>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</si>
  <si>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</si>
  <si>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</si>
  <si>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</si>
  <si>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</si>
  <si>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</si>
  <si>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</si>
  <si>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</si>
  <si>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</si>
  <si>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</si>
  <si>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</si>
  <si>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</si>
  <si>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</si>
  <si>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</si>
  <si>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</si>
  <si>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</si>
  <si>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</si>
  <si>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</si>
  <si>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</si>
  <si>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</si>
  <si>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</si>
  <si>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</si>
  <si>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</si>
  <si>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</si>
  <si>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</si>
  <si>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</si>
  <si>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</si>
  <si>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</si>
  <si>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</si>
  <si>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</si>
  <si>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</si>
  <si>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</si>
  <si>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</si>
  <si>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</si>
  <si>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</si>
  <si>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</si>
  <si>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</si>
  <si>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</si>
  <si>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</si>
  <si>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</si>
  <si>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</si>
  <si>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</si>
  <si>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</si>
  <si>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</si>
  <si>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</si>
  <si>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</si>
  <si>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</si>
  <si>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</si>
  <si>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</si>
  <si>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</si>
  <si>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</si>
  <si>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</si>
  <si>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</si>
  <si>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</si>
  <si>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</si>
  <si>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</si>
  <si>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</si>
  <si>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</si>
  <si>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</si>
  <si>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</si>
  <si>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</si>
  <si>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</si>
  <si>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</si>
  <si>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</si>
  <si>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</si>
  <si>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</si>
  <si>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</si>
  <si>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</si>
  <si>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</si>
  <si>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</si>
  <si>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</si>
  <si>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</si>
  <si>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</si>
  <si>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</si>
  <si>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</si>
  <si>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</si>
  <si>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</si>
  <si>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</si>
  <si>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</si>
  <si>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</si>
  <si>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</si>
  <si>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</si>
  <si>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</si>
  <si>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</si>
  <si>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</si>
  <si>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</si>
  <si>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</si>
  <si>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</si>
  <si>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</si>
  <si>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</si>
  <si>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</si>
  <si>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</si>
  <si>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</si>
  <si>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</si>
  <si>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</si>
  <si>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</si>
  <si>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</si>
  <si>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</si>
  <si>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</si>
  <si>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</si>
  <si>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</si>
  <si>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</si>
  <si>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</si>
  <si>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</si>
  <si>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</si>
  <si>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</si>
  <si>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</si>
  <si>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</si>
  <si>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</si>
  <si>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</si>
  <si>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</si>
  <si>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</si>
  <si>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</si>
  <si>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</si>
  <si>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</si>
  <si>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</si>
  <si>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</si>
  <si>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</si>
  <si>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</si>
  <si>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</si>
  <si>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</si>
  <si>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</si>
  <si>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</si>
  <si>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</si>
  <si>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</si>
  <si>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</si>
  <si>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</si>
  <si>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</si>
  <si>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</si>
  <si>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</si>
  <si>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</si>
  <si>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</si>
  <si>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</si>
  <si>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</si>
  <si>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</si>
  <si>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</si>
  <si>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</si>
  <si>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</si>
  <si>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</si>
  <si>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</si>
  <si>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</si>
  <si>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</si>
  <si>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</si>
  <si>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</si>
  <si>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</si>
  <si>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</si>
  <si>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</si>
  <si>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</si>
  <si>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</si>
  <si>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</si>
  <si>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</si>
  <si>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</si>
  <si>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</si>
  <si>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</si>
  <si>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</si>
  <si>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</si>
  <si>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</si>
  <si>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</si>
  <si>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</si>
  <si>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</si>
  <si>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</si>
  <si>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</si>
  <si>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</si>
  <si>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</si>
  <si>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</si>
  <si>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</si>
  <si>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</si>
  <si>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</si>
  <si>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</si>
  <si>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</si>
  <si>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</si>
  <si>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</si>
  <si>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</si>
  <si>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</si>
  <si>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</si>
  <si>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</si>
  <si>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</si>
  <si>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</si>
  <si>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</si>
  <si>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</si>
  <si>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</si>
  <si>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</si>
  <si>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</si>
  <si>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</si>
  <si>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</si>
  <si>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</si>
  <si>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</si>
  <si>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</si>
  <si>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</si>
  <si>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</si>
  <si>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</si>
  <si>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</si>
  <si>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</si>
  <si>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</si>
  <si>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</si>
  <si>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</si>
  <si>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</si>
  <si>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</si>
  <si>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</si>
  <si>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</si>
  <si>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</si>
  <si>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</si>
  <si>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</si>
  <si>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</si>
  <si>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</si>
  <si>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</si>
  <si>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</si>
  <si>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</si>
  <si>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</si>
  <si>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</si>
  <si>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</si>
  <si>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</si>
  <si>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</si>
  <si>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</si>
  <si>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</si>
  <si>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</si>
  <si>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</si>
  <si>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</si>
  <si>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</si>
  <si>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</si>
  <si>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</si>
  <si>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</si>
  <si>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</si>
  <si>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</si>
  <si>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</si>
  <si>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</si>
  <si>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</si>
  <si>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</si>
  <si>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</si>
  <si>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</si>
  <si>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</si>
  <si>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</si>
  <si>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</si>
  <si>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</si>
  <si>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</si>
  <si>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</si>
  <si>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</si>
  <si>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</si>
  <si>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</si>
  <si>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</si>
  <si>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</si>
  <si>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</si>
  <si>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</si>
  <si>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</si>
  <si>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</si>
  <si>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</si>
  <si>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</si>
  <si>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</si>
  <si>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</si>
  <si>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</si>
  <si>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</si>
  <si>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</si>
  <si>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</si>
  <si>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</si>
  <si>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</si>
  <si>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</si>
  <si>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</si>
  <si>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</si>
  <si>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</si>
  <si>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</si>
  <si>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</si>
  <si>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</si>
  <si>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</si>
  <si>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</si>
  <si>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</si>
  <si>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</si>
  <si>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</si>
  <si>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</si>
  <si>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</si>
  <si>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</si>
  <si>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</si>
  <si>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</si>
  <si>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</si>
  <si>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</si>
  <si>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</si>
  <si>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</si>
  <si>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</si>
  <si>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</si>
  <si>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</si>
  <si>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</si>
  <si>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</si>
  <si>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</si>
  <si>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</si>
  <si>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</si>
  <si>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</si>
  <si>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</si>
  <si>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</si>
  <si>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</si>
  <si>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</si>
  <si>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</si>
  <si>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</si>
  <si>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</si>
  <si>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</si>
  <si>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</si>
  <si>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</si>
  <si>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</si>
  <si>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</si>
  <si>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</si>
  <si>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</si>
  <si>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</si>
  <si>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</si>
  <si>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</si>
  <si>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</si>
  <si>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</si>
  <si>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</si>
  <si>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</si>
  <si>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</si>
  <si>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</si>
  <si>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</si>
  <si>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</si>
  <si>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</si>
  <si>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</si>
  <si>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</si>
  <si>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</si>
  <si>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</si>
  <si>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</si>
  <si>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</si>
  <si>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</si>
  <si>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</si>
  <si>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</si>
  <si>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</si>
  <si>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</si>
  <si>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</si>
  <si>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</si>
  <si>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</si>
  <si>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</si>
  <si>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</si>
  <si>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</si>
  <si>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</si>
  <si>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</si>
  <si>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</si>
  <si>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</si>
  <si>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</si>
  <si>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</si>
  <si>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</si>
  <si>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</si>
  <si>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</si>
  <si>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</si>
  <si>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</si>
  <si>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</si>
  <si>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</si>
  <si>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</si>
  <si>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</si>
  <si>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</si>
  <si>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</si>
  <si>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</si>
  <si>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</si>
  <si>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</si>
  <si>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</si>
  <si>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</si>
  <si>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</si>
  <si>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</si>
  <si>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</si>
  <si>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</si>
  <si>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</si>
  <si>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</si>
  <si>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</si>
  <si>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</si>
  <si>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</si>
  <si>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</si>
  <si>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</si>
  <si>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</si>
  <si>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</si>
  <si>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</si>
  <si>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</si>
  <si>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</si>
  <si>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</si>
  <si>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</si>
  <si>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</si>
  <si>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</si>
  <si>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</si>
  <si>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</si>
  <si>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</si>
  <si>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</si>
  <si>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</si>
  <si>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</si>
  <si>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</si>
  <si>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</si>
  <si>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</si>
  <si>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</si>
  <si>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</si>
  <si>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</si>
  <si>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</si>
  <si>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</si>
  <si>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</si>
  <si>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</si>
  <si>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</si>
  <si>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</si>
  <si>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</si>
  <si>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</si>
  <si>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</si>
  <si>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</si>
  <si>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</si>
  <si>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</si>
  <si>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</si>
  <si>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</si>
  <si>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</si>
  <si>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</si>
  <si>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</si>
  <si>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</si>
  <si>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</si>
  <si>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</si>
  <si>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</si>
  <si>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</si>
  <si>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</si>
  <si>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</si>
  <si>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</si>
  <si>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</si>
  <si>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</si>
  <si>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</si>
  <si>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</si>
  <si>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</si>
  <si>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</si>
  <si>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</si>
  <si>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</si>
  <si>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</si>
  <si>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</si>
  <si>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</si>
  <si>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</si>
  <si>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</si>
  <si>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</si>
  <si>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</si>
  <si>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</si>
  <si>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</si>
  <si>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</si>
  <si>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</si>
  <si>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</si>
  <si>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</si>
  <si>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</si>
  <si>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</si>
  <si>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</si>
  <si>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</si>
  <si>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</si>
  <si>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</si>
  <si>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</si>
  <si>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</si>
  <si>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</si>
  <si>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</si>
  <si>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</si>
  <si>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</si>
  <si>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</si>
  <si>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</si>
  <si>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</si>
  <si>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</si>
  <si>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</si>
  <si>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</si>
  <si>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</si>
  <si>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</si>
  <si>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</si>
  <si>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</si>
  <si>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</si>
  <si>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</si>
  <si>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</si>
  <si>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</si>
  <si>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</si>
  <si>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</si>
  <si>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</si>
  <si>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</si>
  <si>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</si>
  <si>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</si>
  <si>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</si>
  <si>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</si>
  <si>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</si>
  <si>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</si>
  <si>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</si>
  <si>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</si>
  <si>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</si>
  <si>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</si>
  <si>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</si>
  <si>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</si>
  <si>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</si>
  <si>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</si>
  <si>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</si>
  <si>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</si>
  <si>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</si>
  <si>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</si>
  <si>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</si>
  <si>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</si>
  <si>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</si>
  <si>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</si>
  <si>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</si>
  <si>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</si>
  <si>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</si>
  <si>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</si>
  <si>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</si>
  <si>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</si>
  <si>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</si>
  <si>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</si>
  <si>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</si>
  <si>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</si>
  <si>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</si>
  <si>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</si>
  <si>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</si>
  <si>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</si>
  <si>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</si>
  <si>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</si>
  <si>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</si>
  <si>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</si>
  <si>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</si>
  <si>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</si>
  <si>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</si>
  <si>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</si>
  <si>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</si>
  <si>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</si>
  <si>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</si>
  <si>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</si>
  <si>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</si>
  <si>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</si>
  <si>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</si>
  <si>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</si>
  <si>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</si>
  <si>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</si>
  <si>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</si>
  <si>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</si>
  <si>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</si>
  <si>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</si>
  <si>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</si>
  <si>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</si>
  <si>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</si>
  <si>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</si>
  <si>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</si>
  <si>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</si>
  <si>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</si>
  <si>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</si>
  <si>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</si>
  <si>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</si>
  <si>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</si>
  <si>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</si>
  <si>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</si>
  <si>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</si>
  <si>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</si>
  <si>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</si>
  <si>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</si>
  <si>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</si>
  <si>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</si>
  <si>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</si>
  <si>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</si>
  <si>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</si>
  <si>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</si>
  <si>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</si>
  <si>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</si>
  <si>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</si>
  <si>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</si>
  <si>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</si>
  <si>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</si>
  <si>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</si>
  <si>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</si>
  <si>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</si>
  <si>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</si>
  <si>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</si>
  <si>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</si>
  <si>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</si>
  <si>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</si>
  <si>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</si>
  <si>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</si>
  <si>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</si>
  <si>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</si>
  <si>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</si>
  <si>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</si>
  <si>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</si>
  <si>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</si>
  <si>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</si>
  <si>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</si>
  <si>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</si>
  <si>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</si>
  <si>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</si>
  <si>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</si>
  <si>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</si>
  <si>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</si>
  <si>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</si>
  <si>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</si>
  <si>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</si>
  <si>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</si>
  <si>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</si>
  <si>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</si>
  <si>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</si>
  <si>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</si>
  <si>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</si>
  <si>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</si>
  <si>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</si>
  <si>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</si>
  <si>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</si>
  <si>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</si>
  <si>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</si>
  <si>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</si>
  <si>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</si>
  <si>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</si>
  <si>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</si>
  <si>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</si>
  <si>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</si>
  <si>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</si>
  <si>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</si>
  <si>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</si>
  <si>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</si>
  <si>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</si>
  <si>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</si>
  <si>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</si>
  <si>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</si>
  <si>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</si>
  <si>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</si>
  <si>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</si>
  <si>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</si>
  <si>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</si>
  <si>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</si>
  <si>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</si>
  <si>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</si>
  <si>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</si>
  <si>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</si>
  <si>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</si>
  <si>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</si>
  <si>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</si>
  <si>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</si>
  <si>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</si>
  <si>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</si>
  <si>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</si>
  <si>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</si>
  <si>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</si>
  <si>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</si>
  <si>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</si>
  <si>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</si>
  <si>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</si>
  <si>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</si>
  <si>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</si>
  <si>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</si>
  <si>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</si>
  <si>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</si>
  <si>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</si>
  <si>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</si>
  <si>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</si>
  <si>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</si>
  <si>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</si>
  <si>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</si>
  <si>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</si>
  <si>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</si>
  <si>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</si>
  <si>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</si>
  <si>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</si>
  <si>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</si>
  <si>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</si>
  <si>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</si>
  <si>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</si>
  <si>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</si>
  <si>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</si>
  <si>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</si>
  <si>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</si>
  <si>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</si>
  <si>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</si>
  <si>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</si>
  <si>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</si>
  <si>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</si>
  <si>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</si>
  <si>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</si>
  <si>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</si>
  <si>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</si>
  <si>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</si>
  <si>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</si>
  <si>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</si>
  <si>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</si>
  <si>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</si>
  <si>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</si>
  <si>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</si>
  <si>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</si>
  <si>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</si>
  <si>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</si>
  <si>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</si>
  <si>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</si>
  <si>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</si>
  <si>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</si>
  <si>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</si>
  <si>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</si>
  <si>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</si>
  <si>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</si>
  <si>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</si>
  <si>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</si>
  <si>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</si>
  <si>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</si>
  <si>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</si>
  <si>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</si>
  <si>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</si>
  <si>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</si>
  <si>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</si>
  <si>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</si>
  <si>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</si>
  <si>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</si>
  <si>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</si>
  <si>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</si>
  <si>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</si>
  <si>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</si>
  <si>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</si>
  <si>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</si>
  <si>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</si>
  <si>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</si>
  <si>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</si>
  <si>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</si>
  <si>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</si>
  <si>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</si>
  <si>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</si>
  <si>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</si>
  <si>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</si>
  <si>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</si>
  <si>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</si>
  <si>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</si>
  <si>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</si>
  <si>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</si>
  <si>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</si>
  <si>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</si>
  <si>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</si>
  <si>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</si>
  <si>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</si>
  <si>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</si>
  <si>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</si>
  <si>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</si>
  <si>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</si>
  <si>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</si>
  <si>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</si>
  <si>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</si>
  <si>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</si>
  <si>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</si>
  <si>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</si>
  <si>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</si>
  <si>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</si>
  <si>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</si>
  <si>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</si>
  <si>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</si>
  <si>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</si>
  <si>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</si>
  <si>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</si>
  <si>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</si>
  <si>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</si>
  <si>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</si>
  <si>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</si>
  <si>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</si>
  <si>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</si>
  <si>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</si>
  <si>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</si>
  <si>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</si>
  <si>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</si>
  <si>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</si>
  <si>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</si>
  <si>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</si>
  <si>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</si>
  <si>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</si>
  <si>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</si>
  <si>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</si>
  <si>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</si>
  <si>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</si>
  <si>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</si>
  <si>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</si>
  <si>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</si>
  <si>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</si>
  <si>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</si>
  <si>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</si>
  <si>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</si>
  <si>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</si>
  <si>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</si>
  <si>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</si>
  <si>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</si>
  <si>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</si>
  <si>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</si>
  <si>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</si>
  <si>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</si>
  <si>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</si>
  <si>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</si>
  <si>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</si>
  <si>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</si>
  <si>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</si>
  <si>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</si>
  <si>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</si>
  <si>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</si>
  <si>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</si>
  <si>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</si>
  <si>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</si>
  <si>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</si>
  <si>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</si>
  <si>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</si>
  <si>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</si>
  <si>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</si>
  <si>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</si>
  <si>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</si>
  <si>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</si>
  <si>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</si>
  <si>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</si>
  <si>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</si>
  <si>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</si>
  <si>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</si>
  <si>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</si>
  <si>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</si>
  <si>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</si>
  <si>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</si>
  <si>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</si>
  <si>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</si>
  <si>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</si>
  <si>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</si>
  <si>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</si>
  <si>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</si>
  <si>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</si>
  <si>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</si>
  <si>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</si>
  <si>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</si>
  <si>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</si>
  <si>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</si>
  <si>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</si>
  <si>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</si>
  <si>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</si>
  <si>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</si>
  <si>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</si>
  <si>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</si>
  <si>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</si>
  <si>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</si>
  <si>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</si>
  <si>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</si>
  <si>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</si>
  <si>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</si>
  <si>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</si>
  <si>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</si>
  <si>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</si>
  <si>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</si>
  <si>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</si>
  <si>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</si>
  <si>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</si>
  <si>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</si>
  <si>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</si>
  <si>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</si>
  <si>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</si>
  <si>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</si>
  <si>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</si>
  <si>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</si>
  <si>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</si>
  <si>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</si>
  <si>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</si>
  <si>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</si>
  <si>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</si>
  <si>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</si>
  <si>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</si>
  <si>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</si>
  <si>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</si>
  <si>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</si>
  <si>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</si>
  <si>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</si>
  <si>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</si>
  <si>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</si>
  <si>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</si>
  <si>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</si>
  <si>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</si>
  <si>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</si>
  <si>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</si>
  <si>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</si>
  <si>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</si>
  <si>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</si>
  <si>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</si>
  <si>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</si>
  <si>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</si>
  <si>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</si>
  <si>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</si>
  <si>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</si>
  <si>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</si>
  <si>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</si>
  <si>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</si>
  <si>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</si>
  <si>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</si>
  <si>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</si>
  <si>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</si>
  <si>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</si>
  <si>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</si>
  <si>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</si>
  <si>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</si>
  <si>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</si>
  <si>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</si>
  <si>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</si>
  <si>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</si>
  <si>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</si>
  <si>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</si>
  <si>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</si>
  <si>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</si>
  <si>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</si>
  <si>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</si>
  <si>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</si>
  <si>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</si>
  <si>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</si>
  <si>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</si>
  <si>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</si>
  <si>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</si>
  <si>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</si>
  <si>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</si>
  <si>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</si>
  <si>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</si>
  <si>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</si>
  <si>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</si>
  <si>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</si>
  <si>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</si>
  <si>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</si>
  <si>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</si>
  <si>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</si>
  <si>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</si>
  <si>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</si>
  <si>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</si>
  <si>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</si>
  <si>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</si>
  <si>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</si>
  <si>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</si>
  <si>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</si>
  <si>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</si>
  <si>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</si>
  <si>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</si>
  <si>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</si>
  <si>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</si>
  <si>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</si>
  <si>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</si>
  <si>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</si>
  <si>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</si>
  <si>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</si>
  <si>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</si>
  <si>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</si>
  <si>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</si>
  <si>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</si>
  <si>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</si>
  <si>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</si>
  <si>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</si>
  <si>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</si>
  <si>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</si>
  <si>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</si>
  <si>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</si>
  <si>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</si>
  <si>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</si>
  <si>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</si>
  <si>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</si>
  <si>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</si>
  <si>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</si>
  <si>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</si>
  <si>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</si>
  <si>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</si>
  <si>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</si>
  <si>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</si>
  <si>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</si>
  <si>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</si>
  <si>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</si>
  <si>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</si>
  <si>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</si>
  <si>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</si>
  <si>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</si>
  <si>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</si>
  <si>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</si>
  <si>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</si>
  <si>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</si>
  <si>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</si>
  <si>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</si>
  <si>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</si>
  <si>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</si>
  <si>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</si>
  <si>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</si>
  <si>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</si>
  <si>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</si>
  <si>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</si>
  <si>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</si>
  <si>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</si>
  <si>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</si>
  <si>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</si>
  <si>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</si>
  <si>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</si>
  <si>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</si>
  <si>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</si>
  <si>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</si>
  <si>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</si>
  <si>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</si>
  <si>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</si>
  <si>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</si>
  <si>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</si>
  <si>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</si>
  <si>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</si>
  <si>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</si>
  <si>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</si>
  <si>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</si>
  <si>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</si>
  <si>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</si>
  <si>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</si>
  <si>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</si>
  <si>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</si>
  <si>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</si>
  <si>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</si>
  <si>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</si>
  <si>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</si>
  <si>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</si>
  <si>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</si>
  <si>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</si>
  <si>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</si>
  <si>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</si>
  <si>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</si>
  <si>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</si>
  <si>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</si>
  <si>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</si>
  <si>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</si>
  <si>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</si>
  <si>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</si>
  <si>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</si>
  <si>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</si>
  <si>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</si>
  <si>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</si>
  <si>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</si>
  <si>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</si>
  <si>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</si>
  <si>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</si>
  <si>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</si>
  <si>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</si>
  <si>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</si>
  <si>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</si>
  <si>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</si>
  <si>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</si>
  <si>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</si>
  <si>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</si>
  <si>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</si>
  <si>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</si>
  <si>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</si>
  <si>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</si>
  <si>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</si>
  <si>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</si>
  <si>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</si>
  <si>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</si>
  <si>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</si>
  <si>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</si>
  <si>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</si>
  <si>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</si>
  <si>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</si>
  <si>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</si>
  <si>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</si>
  <si>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</si>
  <si>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</si>
  <si>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</si>
  <si>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</si>
  <si>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</si>
  <si>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</si>
  <si>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</si>
  <si>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</si>
  <si>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</si>
  <si>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</si>
  <si>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</si>
  <si>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</si>
  <si>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</si>
  <si>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</si>
  <si>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</si>
  <si>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</si>
  <si>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</si>
  <si>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</si>
  <si>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</si>
  <si>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</si>
  <si>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</si>
  <si>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</si>
  <si>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</si>
  <si>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</si>
  <si>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</si>
  <si>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</si>
  <si>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</si>
  <si>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</si>
  <si>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</si>
  <si>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</si>
  <si>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</si>
  <si>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</si>
  <si>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</si>
  <si>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</si>
  <si>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</si>
  <si>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</si>
  <si>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</si>
  <si>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</si>
  <si>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</si>
  <si>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</si>
  <si>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</si>
  <si>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</si>
  <si>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</si>
  <si>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</si>
  <si>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</si>
  <si>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</si>
  <si>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</si>
  <si>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</si>
  <si>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</si>
  <si>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</si>
  <si>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</si>
  <si>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</si>
  <si>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</si>
  <si>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</si>
  <si>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</si>
  <si>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</si>
  <si>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</si>
  <si>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</si>
  <si>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</si>
  <si>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</si>
  <si>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</si>
  <si>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</si>
  <si>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</si>
  <si>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</si>
  <si>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</si>
  <si>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</si>
  <si>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</si>
  <si>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</si>
  <si>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</si>
  <si>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</si>
  <si>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</si>
  <si>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</si>
  <si>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</si>
  <si>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</si>
  <si>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</si>
  <si>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</si>
  <si>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</si>
  <si>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</si>
  <si>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</si>
  <si>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</si>
  <si>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</si>
  <si>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</si>
  <si>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</si>
  <si>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</si>
  <si>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</si>
  <si>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</si>
  <si>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</si>
  <si>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</si>
  <si>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</si>
  <si>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</si>
  <si>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</si>
  <si>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</si>
  <si>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</si>
  <si>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</si>
  <si>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</si>
  <si>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</si>
  <si>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</si>
  <si>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</si>
  <si>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</si>
  <si>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</si>
  <si>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</si>
  <si>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</si>
  <si>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</si>
  <si>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</si>
  <si>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</si>
  <si>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</si>
  <si>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</si>
  <si>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</si>
  <si>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</si>
  <si>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</si>
  <si>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</si>
  <si>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</si>
  <si>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</si>
  <si>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</si>
  <si>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</si>
  <si>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</si>
  <si>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</si>
  <si>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</si>
  <si>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</si>
  <si>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</si>
  <si>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</si>
  <si>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</si>
  <si>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</si>
  <si>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</si>
  <si>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</si>
  <si>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</si>
  <si>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</si>
  <si>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</si>
  <si>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</si>
  <si>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</si>
  <si>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</si>
  <si>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</si>
  <si>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</si>
  <si>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</si>
  <si>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</si>
  <si>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</si>
  <si>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</si>
  <si>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</si>
  <si>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</si>
  <si>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</si>
  <si>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</si>
  <si>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</si>
  <si>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</si>
  <si>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</si>
  <si>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</si>
  <si>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</si>
  <si>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</si>
  <si>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</si>
  <si>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</si>
  <si>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</si>
  <si>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</si>
  <si>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</si>
  <si>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</si>
  <si>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</si>
  <si>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</si>
  <si>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</si>
  <si>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</si>
  <si>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</si>
  <si>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</si>
  <si>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</si>
  <si>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</si>
  <si>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</si>
  <si>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</si>
  <si>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</si>
  <si>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</si>
  <si>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</si>
  <si>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</si>
  <si>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</si>
  <si>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</si>
  <si>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</si>
  <si>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</si>
  <si>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</si>
  <si>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</si>
  <si>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</si>
  <si>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</si>
  <si>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</si>
  <si>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</si>
  <si>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</si>
  <si>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</si>
  <si>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</si>
  <si>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</si>
  <si>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</si>
  <si>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</si>
  <si>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</si>
  <si>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</si>
  <si>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</si>
  <si>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</si>
  <si>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</si>
  <si>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</si>
  <si>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</si>
  <si>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</si>
  <si>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</si>
  <si>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</si>
  <si>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</si>
  <si>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</si>
  <si>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</si>
  <si>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</si>
  <si>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</si>
  <si>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</si>
  <si>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</si>
  <si>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</si>
  <si>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</si>
  <si>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</si>
  <si>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</si>
  <si>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</si>
  <si>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</si>
  <si>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</si>
  <si>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</si>
  <si>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</si>
  <si>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</si>
  <si>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</si>
  <si>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</si>
  <si>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</si>
  <si>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</si>
  <si>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</si>
  <si>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</si>
  <si>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</si>
  <si>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</si>
  <si>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</si>
  <si>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</si>
  <si>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</si>
  <si>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</si>
  <si>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</si>
  <si>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</si>
  <si>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</si>
  <si>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</si>
  <si>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</si>
  <si>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</si>
  <si>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</si>
  <si>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</si>
  <si>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</si>
  <si>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</si>
  <si>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</si>
  <si>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</si>
  <si>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</si>
  <si>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</si>
  <si>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</si>
  <si>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</si>
  <si>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</si>
  <si>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</si>
  <si>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</si>
  <si>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</si>
  <si>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</si>
  <si>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</si>
  <si>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</si>
  <si>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</si>
  <si>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</si>
  <si>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</si>
  <si>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</si>
  <si>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</si>
  <si>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</si>
  <si>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</si>
  <si>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</si>
  <si>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</si>
  <si>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</si>
  <si>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</si>
  <si>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</si>
  <si>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</si>
  <si>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</si>
  <si>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</si>
  <si>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</si>
  <si>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</si>
  <si>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</si>
  <si>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</si>
  <si>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</si>
  <si>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</si>
  <si>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</si>
  <si>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</si>
  <si>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</si>
  <si>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</si>
  <si>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</si>
  <si>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</si>
  <si>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</si>
  <si>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</si>
  <si>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</si>
  <si>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</si>
  <si>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</si>
  <si>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</si>
  <si>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</si>
  <si>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</si>
  <si>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</si>
  <si>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</si>
  <si>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</si>
  <si>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</si>
  <si>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</si>
  <si>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</si>
  <si>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</si>
  <si>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</si>
  <si>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</si>
  <si>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</si>
  <si>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</si>
  <si>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</si>
  <si>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</si>
  <si>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</si>
  <si>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</si>
  <si>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</si>
  <si>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</si>
  <si>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</si>
  <si>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</si>
  <si>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</si>
  <si>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</si>
  <si>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</si>
  <si>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</si>
  <si>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</si>
  <si>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</si>
  <si>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</si>
  <si>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</si>
  <si>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</si>
  <si>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</si>
  <si>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</si>
  <si>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</si>
  <si>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</si>
  <si>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</si>
  <si>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</si>
  <si>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</si>
  <si>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</si>
  <si>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</si>
  <si>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</si>
  <si>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</si>
  <si>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</si>
  <si>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</si>
  <si>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</si>
  <si>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</si>
  <si>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</si>
  <si>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</si>
  <si>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</si>
  <si>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</si>
  <si>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</si>
  <si>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</si>
  <si>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</si>
  <si>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</si>
  <si>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</si>
  <si>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</si>
  <si>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</si>
  <si>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</si>
  <si>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</si>
  <si>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</si>
  <si>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</si>
  <si>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</si>
  <si>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</si>
  <si>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</si>
  <si>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</si>
  <si>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</si>
  <si>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</si>
  <si>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</si>
  <si>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</si>
  <si>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</si>
  <si>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</si>
  <si>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</si>
  <si>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</si>
  <si>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</si>
  <si>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</si>
  <si>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</si>
  <si>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</si>
  <si>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</si>
  <si>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</si>
  <si>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</si>
  <si>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</si>
  <si>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</si>
  <si>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</si>
  <si>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</si>
  <si>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</si>
  <si>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</si>
  <si>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</si>
  <si>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</si>
  <si>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</si>
  <si>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</si>
  <si>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</si>
  <si>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</si>
  <si>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</si>
  <si>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</si>
  <si>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</si>
  <si>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</si>
  <si>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</si>
  <si>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</si>
  <si>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</si>
  <si>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</si>
  <si>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</si>
  <si>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</si>
  <si>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</si>
  <si>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</si>
  <si>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</si>
  <si>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</si>
  <si>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</si>
  <si>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</si>
  <si>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</si>
  <si>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</si>
  <si>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</si>
  <si>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</si>
  <si>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</si>
  <si>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</si>
  <si>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</si>
  <si>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</si>
  <si>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</si>
  <si>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</si>
  <si>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</si>
  <si>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</si>
  <si>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</si>
  <si>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</si>
  <si>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</si>
  <si>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</si>
  <si>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</si>
  <si>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</si>
  <si>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</si>
  <si>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</si>
  <si>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</si>
  <si>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</si>
  <si>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</si>
  <si>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</si>
  <si>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</si>
  <si>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</si>
  <si>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</si>
  <si>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</si>
  <si>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</si>
  <si>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</si>
  <si>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</si>
  <si>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</si>
  <si>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</si>
  <si>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</si>
  <si>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</si>
  <si>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</si>
  <si>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</si>
  <si>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</si>
  <si>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</si>
  <si>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</si>
  <si>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</si>
  <si>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</si>
  <si>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</si>
  <si>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</si>
  <si>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</si>
  <si>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</si>
  <si>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</si>
  <si>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</si>
  <si>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</si>
  <si>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</si>
  <si>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</si>
  <si>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</si>
  <si>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</si>
  <si>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</si>
  <si>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</si>
  <si>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</si>
  <si>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</si>
  <si>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</si>
  <si>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</si>
  <si>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</si>
  <si>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</si>
  <si>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</si>
  <si>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</si>
  <si>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</si>
  <si>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</si>
  <si>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</si>
  <si>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</si>
  <si>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</si>
  <si>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</si>
  <si>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</si>
  <si>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</si>
  <si>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</si>
  <si>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</si>
  <si>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</si>
  <si>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</si>
  <si>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</si>
  <si>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</si>
  <si>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</si>
  <si>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</si>
  <si>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</si>
  <si>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</si>
  <si>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</si>
  <si>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</si>
  <si>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</si>
  <si>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</si>
  <si>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</si>
  <si>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</si>
  <si>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</si>
  <si>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</si>
  <si>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</si>
  <si>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</si>
  <si>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</si>
  <si>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</si>
  <si>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</si>
  <si>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</si>
  <si>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</si>
  <si>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</si>
  <si>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</si>
  <si>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</si>
  <si>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</si>
  <si>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</si>
  <si>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</si>
  <si>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</si>
  <si>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</si>
  <si>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</si>
  <si>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</si>
  <si>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</si>
  <si>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</si>
  <si>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</si>
  <si>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</si>
  <si>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</si>
  <si>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</si>
  <si>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</si>
  <si>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</si>
  <si>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</si>
  <si>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</si>
  <si>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</si>
  <si>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</si>
  <si>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</si>
  <si>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</si>
  <si>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</si>
  <si>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</si>
  <si>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</si>
  <si>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</si>
  <si>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</si>
  <si>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</si>
  <si>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</si>
  <si>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</si>
  <si>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</si>
  <si>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</si>
  <si>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</si>
  <si>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</si>
  <si>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</si>
  <si>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</si>
  <si>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</si>
  <si>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</si>
  <si>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</si>
  <si>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</si>
  <si>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</si>
  <si>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</si>
  <si>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</si>
  <si>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</si>
  <si>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</si>
  <si>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</si>
  <si>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</si>
  <si>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</si>
  <si>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</si>
  <si>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</si>
  <si>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</si>
  <si>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</si>
  <si>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</si>
  <si>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</si>
  <si>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</si>
  <si>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</si>
  <si>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</si>
  <si>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</si>
  <si>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</si>
  <si>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</si>
  <si>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</si>
  <si>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</si>
  <si>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</si>
  <si>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</si>
  <si>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</si>
  <si>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</si>
  <si>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</si>
  <si>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</si>
  <si>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</si>
  <si>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</si>
  <si>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</si>
  <si>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</si>
  <si>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</si>
  <si>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</si>
  <si>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</si>
  <si>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</si>
  <si>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</si>
  <si>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</si>
  <si>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</si>
  <si>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</si>
  <si>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</si>
  <si>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</si>
  <si>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</si>
  <si>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</si>
  <si>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</si>
  <si>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</si>
  <si>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</si>
  <si>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</si>
  <si>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</si>
  <si>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</si>
  <si>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</si>
  <si>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</si>
  <si>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</si>
  <si>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</si>
  <si>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</si>
  <si>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</si>
  <si>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</si>
  <si>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</si>
  <si>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</si>
  <si>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</si>
  <si>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</si>
  <si>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</si>
  <si>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</si>
  <si>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</si>
  <si>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</si>
  <si>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</si>
  <si>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</si>
  <si>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</si>
  <si>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</si>
  <si>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</si>
  <si>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</si>
  <si>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</si>
  <si>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</si>
  <si>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</si>
  <si>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</si>
  <si>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</si>
  <si>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</si>
  <si>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</si>
  <si>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</si>
  <si>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</si>
  <si>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</si>
  <si>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</si>
  <si>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</si>
  <si>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</si>
  <si>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</si>
  <si>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</si>
  <si>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</si>
  <si>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</si>
  <si>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</si>
  <si>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</si>
  <si>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</si>
  <si>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</si>
  <si>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</si>
  <si>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</si>
  <si>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</si>
  <si>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</si>
  <si>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</si>
  <si>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</si>
  <si>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</si>
  <si>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</si>
  <si>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</si>
  <si>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</si>
  <si>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</si>
  <si>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</si>
  <si>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</si>
  <si>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</si>
  <si>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</si>
  <si>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</si>
  <si>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</si>
  <si>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</si>
  <si>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</si>
  <si>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</si>
  <si>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</si>
  <si>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</si>
  <si>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</si>
  <si>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</si>
  <si>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</si>
  <si>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</si>
  <si>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</si>
  <si>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</si>
  <si>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</si>
  <si>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</si>
  <si>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</si>
  <si>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</si>
  <si>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</si>
  <si>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</si>
  <si>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</si>
  <si>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</si>
  <si>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</si>
  <si>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</si>
  <si>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</si>
  <si>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</si>
  <si>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</si>
  <si>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</si>
  <si>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</si>
  <si>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</si>
  <si>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</si>
  <si>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</si>
  <si>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</si>
  <si>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</si>
  <si>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</si>
  <si>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</si>
  <si>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</si>
  <si>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</si>
  <si>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</si>
  <si>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</si>
  <si>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</si>
  <si>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</si>
  <si>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</si>
  <si>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</si>
  <si>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</si>
  <si>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</si>
  <si>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</si>
  <si>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</si>
  <si>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</si>
  <si>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</si>
  <si>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</si>
  <si>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</si>
  <si>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</si>
  <si>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</si>
  <si>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</si>
  <si>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</si>
  <si>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</si>
  <si>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</si>
  <si>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</si>
  <si>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</si>
  <si>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</si>
  <si>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</si>
  <si>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</si>
  <si>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</si>
  <si>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</si>
  <si>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</si>
  <si>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</si>
  <si>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</si>
  <si>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</si>
  <si>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</si>
  <si>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</si>
  <si>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</si>
  <si>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</si>
  <si>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</si>
  <si>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</si>
  <si>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</si>
  <si>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</si>
  <si>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</si>
  <si>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</si>
  <si>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</si>
  <si>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</si>
  <si>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</si>
  <si>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</si>
  <si>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</si>
  <si>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</si>
  <si>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</si>
  <si>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</si>
  <si>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</si>
  <si>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</si>
  <si>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</si>
  <si>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</si>
  <si>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</si>
  <si>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</si>
  <si>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</si>
  <si>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</si>
  <si>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</si>
  <si>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</si>
  <si>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</si>
  <si>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</si>
  <si>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</si>
  <si>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</si>
  <si>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</si>
  <si>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</si>
  <si>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</si>
  <si>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</si>
  <si>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</si>
  <si>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</si>
  <si>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</si>
  <si>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</si>
  <si>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</si>
  <si>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</si>
  <si>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</si>
  <si>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</si>
  <si>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</si>
  <si>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</si>
  <si>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</si>
  <si>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</si>
  <si>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</si>
  <si>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</si>
  <si>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</si>
  <si>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</si>
  <si>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</si>
  <si>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</si>
  <si>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</si>
  <si>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</si>
  <si>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</si>
  <si>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</si>
  <si>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</si>
  <si>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</si>
  <si>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</si>
  <si>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</si>
  <si>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</si>
  <si>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</si>
  <si>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</si>
  <si>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</si>
  <si>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</si>
  <si>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</si>
  <si>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</si>
  <si>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</si>
  <si>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</si>
  <si>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</si>
  <si>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</si>
  <si>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</si>
  <si>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</si>
  <si>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</si>
  <si>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</si>
  <si>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</si>
  <si>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</si>
  <si>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</si>
  <si>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</si>
  <si>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</si>
  <si>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</si>
  <si>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</si>
  <si>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</si>
  <si>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</si>
  <si>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</si>
  <si>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</si>
  <si>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</si>
  <si>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</si>
  <si>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</si>
  <si>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</si>
  <si>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</si>
  <si>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</si>
  <si>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</si>
  <si>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</si>
  <si>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</si>
  <si>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</si>
  <si>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</si>
  <si>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</si>
  <si>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</si>
  <si>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</si>
  <si>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</si>
  <si>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</si>
  <si>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</si>
  <si>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</si>
  <si>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</si>
  <si>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</si>
  <si>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</si>
  <si>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</si>
  <si>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</si>
  <si>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</si>
  <si>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</si>
  <si>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</si>
  <si>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</si>
  <si>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</si>
  <si>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</si>
  <si>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</si>
  <si>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</si>
  <si>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</si>
  <si>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</si>
  <si>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</si>
  <si>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</si>
  <si>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</si>
  <si>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</si>
  <si>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</si>
  <si>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</si>
  <si>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</si>
  <si>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</si>
  <si>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</si>
  <si>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</si>
  <si>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</si>
  <si>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</si>
  <si>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</si>
  <si>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</si>
  <si>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</si>
  <si>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</si>
  <si>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</si>
  <si>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</si>
  <si>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</si>
  <si>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</si>
  <si>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</si>
  <si>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</si>
  <si>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</si>
  <si>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</si>
  <si>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</si>
  <si>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</si>
  <si>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</si>
  <si>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</si>
  <si>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</si>
  <si>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</si>
  <si>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</si>
  <si>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</si>
  <si>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</si>
  <si>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</si>
  <si>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</si>
  <si>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</si>
  <si>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</si>
  <si>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</si>
  <si>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</si>
  <si>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</si>
  <si>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</si>
  <si>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</si>
  <si>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</si>
  <si>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</si>
  <si>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</si>
  <si>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</si>
  <si>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</si>
  <si>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</si>
  <si>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</si>
  <si>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</si>
  <si>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</si>
  <si>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</si>
  <si>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</si>
  <si>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</si>
  <si>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</si>
  <si>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</si>
  <si>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</si>
  <si>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</si>
  <si>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</si>
  <si>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</si>
  <si>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</si>
  <si>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</si>
  <si>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</si>
  <si>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</si>
  <si>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</si>
  <si>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</si>
  <si>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</si>
  <si>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</si>
  <si>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</si>
  <si>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</si>
  <si>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</si>
  <si>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</si>
  <si>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</si>
  <si>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</si>
  <si>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</si>
  <si>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</si>
  <si>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</si>
  <si>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</si>
  <si>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</si>
  <si>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</si>
  <si>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</si>
  <si>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</si>
  <si>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</si>
  <si>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</si>
  <si>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</si>
  <si>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</si>
  <si>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</si>
  <si>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</si>
  <si>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</si>
  <si>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</si>
  <si>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</si>
  <si>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</si>
  <si>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</si>
  <si>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</si>
  <si>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</si>
  <si>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</si>
  <si>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</si>
  <si>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</si>
  <si>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</si>
  <si>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</si>
  <si>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</si>
  <si>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</si>
  <si>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</si>
  <si>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</si>
  <si>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</si>
  <si>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</si>
  <si>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</si>
  <si>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</si>
  <si>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</si>
  <si>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</si>
  <si>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</si>
  <si>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</si>
  <si>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</si>
  <si>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</si>
  <si>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</si>
  <si>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</si>
  <si>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</si>
  <si>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</si>
  <si>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</si>
  <si>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</si>
  <si>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</si>
  <si>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</si>
  <si>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</si>
  <si>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</si>
  <si>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</si>
  <si>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</si>
  <si>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</si>
  <si>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</si>
  <si>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</si>
  <si>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</si>
  <si>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</si>
  <si>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</si>
  <si>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</si>
  <si>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</si>
  <si>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</si>
  <si>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</si>
  <si>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</si>
  <si>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</si>
  <si>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</si>
  <si>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</si>
  <si>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</si>
  <si>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</si>
  <si>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</si>
  <si>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</si>
  <si>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</si>
  <si>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</si>
  <si>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</si>
  <si>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</si>
  <si>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</si>
  <si>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</si>
  <si>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</si>
  <si>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</si>
  <si>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</si>
  <si>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</si>
  <si>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</si>
  <si>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</si>
  <si>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</si>
  <si>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</si>
  <si>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</si>
  <si>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</si>
  <si>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</si>
  <si>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</si>
  <si>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</si>
  <si>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</si>
  <si>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</si>
  <si>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</si>
  <si>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</si>
  <si>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</si>
  <si>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</si>
  <si>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</si>
  <si>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</si>
  <si>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</si>
  <si>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</si>
  <si>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</si>
  <si>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</si>
  <si>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</si>
  <si>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</si>
  <si>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</si>
  <si>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</si>
  <si>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</si>
  <si>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</si>
  <si>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</si>
  <si>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</si>
  <si>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</si>
  <si>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</si>
  <si>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</si>
  <si>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</si>
  <si>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</si>
  <si>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</si>
  <si>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</si>
  <si>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</si>
  <si>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</si>
  <si>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</si>
  <si>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</si>
  <si>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</si>
  <si>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</si>
  <si>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</si>
  <si>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</si>
  <si>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</si>
  <si>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</si>
  <si>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</si>
  <si>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</si>
  <si>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</si>
  <si>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</si>
  <si>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</si>
  <si>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</si>
  <si>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</si>
  <si>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</si>
  <si>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</si>
  <si>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</si>
  <si>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</si>
  <si>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</si>
  <si>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</si>
  <si>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</si>
  <si>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</si>
  <si>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</si>
  <si>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</si>
  <si>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</si>
  <si>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</si>
  <si>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</si>
  <si>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</si>
  <si>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</si>
  <si>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</si>
  <si>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</si>
  <si>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</si>
  <si>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</si>
  <si>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</si>
  <si>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</si>
  <si>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</si>
  <si>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</si>
  <si>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</si>
  <si>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</si>
  <si>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</si>
  <si>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</si>
  <si>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</si>
  <si>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</si>
  <si>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</si>
  <si>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</si>
  <si>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</si>
  <si>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</si>
  <si>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</si>
  <si>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</si>
  <si>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</si>
  <si>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</si>
  <si>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</si>
  <si>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</si>
  <si>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</si>
  <si>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</si>
  <si>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</si>
  <si>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</si>
  <si>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</si>
  <si>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</si>
  <si>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</si>
  <si>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</si>
  <si>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</si>
  <si>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</si>
  <si>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</si>
  <si>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</si>
  <si>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</si>
  <si>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</si>
  <si>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</si>
  <si>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</si>
  <si>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</si>
  <si>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</si>
  <si>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</si>
  <si>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</si>
  <si>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</si>
  <si>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</si>
  <si>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</si>
  <si>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</si>
  <si>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</si>
  <si>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</si>
  <si>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</si>
  <si>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</si>
  <si>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</si>
  <si>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</si>
  <si>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</si>
  <si>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</si>
  <si>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</si>
  <si>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</si>
  <si>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</si>
  <si>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</si>
  <si>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</si>
  <si>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</si>
  <si>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</si>
  <si>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</si>
  <si>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</si>
  <si>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</si>
  <si>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</si>
  <si>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</si>
  <si>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</si>
  <si>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</si>
  <si>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</si>
  <si>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</si>
  <si>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</si>
  <si>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</si>
  <si>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</si>
  <si>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</si>
  <si>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</si>
  <si>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</si>
  <si>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</si>
  <si>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</si>
  <si>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</si>
  <si>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</si>
  <si>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</si>
  <si>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</si>
  <si>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</si>
  <si>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</si>
  <si>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</si>
  <si>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</si>
  <si>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</si>
  <si>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</si>
  <si>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</si>
  <si>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</si>
  <si>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</si>
  <si>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</si>
  <si>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</si>
  <si>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</si>
  <si>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</si>
  <si>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</si>
  <si>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</si>
  <si>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</si>
  <si>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</si>
  <si>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</si>
  <si>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</si>
  <si>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</si>
  <si>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</si>
  <si>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</si>
  <si>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</si>
  <si>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</si>
  <si>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</si>
  <si>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</si>
  <si>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</si>
  <si>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</si>
  <si>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</si>
  <si>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</si>
  <si>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</si>
  <si>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</si>
  <si>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</si>
  <si>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</si>
  <si>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</si>
  <si>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</si>
  <si>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</si>
  <si>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</si>
  <si>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</si>
  <si>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</si>
  <si>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</si>
  <si>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</si>
  <si>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</si>
  <si>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</si>
  <si>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</si>
  <si>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</si>
  <si>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</si>
  <si>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</si>
  <si>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</si>
  <si>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</si>
  <si>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</si>
  <si>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</si>
  <si>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</si>
  <si>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</si>
  <si>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</si>
  <si>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</si>
  <si>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</si>
  <si>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</si>
  <si>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</si>
  <si>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</si>
  <si>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</si>
  <si>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</si>
  <si>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</si>
  <si>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</si>
  <si>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</si>
  <si>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</si>
  <si>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</si>
  <si>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</si>
  <si>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</si>
  <si>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</si>
  <si>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</si>
  <si>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</si>
  <si>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</si>
  <si>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</si>
  <si>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</si>
  <si>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</si>
  <si>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</si>
  <si>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</si>
  <si>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</si>
  <si>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</si>
  <si>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</si>
  <si>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</si>
  <si>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</si>
  <si>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</si>
  <si>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</si>
  <si>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</si>
  <si>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</si>
  <si>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</si>
  <si>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</si>
  <si>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</si>
  <si>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</si>
  <si>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</si>
  <si>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</si>
  <si>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</si>
  <si>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</si>
  <si>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</si>
  <si>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</si>
  <si>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</si>
  <si>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</si>
  <si>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</si>
  <si>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</si>
  <si>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</si>
  <si>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</si>
  <si>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</si>
  <si>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</si>
  <si>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</si>
  <si>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</si>
  <si>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</si>
  <si>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</si>
  <si>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</si>
  <si>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</si>
  <si>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</si>
  <si>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</si>
  <si>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</si>
  <si>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</si>
  <si>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</si>
  <si>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</si>
  <si>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</si>
  <si>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</si>
  <si>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</si>
  <si>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</si>
  <si>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</si>
  <si>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</si>
  <si>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</si>
  <si>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</si>
  <si>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</si>
  <si>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</si>
  <si>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</si>
  <si>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</si>
  <si>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</si>
  <si>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</si>
  <si>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</si>
  <si>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</si>
  <si>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</si>
  <si>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</si>
  <si>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</si>
  <si>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</si>
  <si>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</si>
  <si>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</si>
  <si>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</si>
  <si>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</si>
  <si>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</si>
  <si>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</si>
  <si>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</si>
  <si>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</si>
  <si>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</si>
  <si>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</si>
  <si>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</si>
  <si>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</si>
  <si>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</si>
  <si>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</si>
  <si>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</si>
  <si>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</si>
  <si>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</si>
  <si>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</si>
  <si>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</si>
  <si>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</si>
  <si>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</si>
  <si>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</si>
  <si>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</si>
  <si>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</si>
  <si>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</si>
  <si>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</si>
  <si>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</si>
  <si>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</si>
  <si>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</si>
  <si>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</si>
  <si>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</si>
  <si>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</si>
  <si>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</si>
  <si>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</si>
  <si>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</si>
  <si>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</si>
  <si>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</si>
  <si>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</si>
  <si>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</si>
  <si>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</si>
  <si>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</si>
  <si>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</si>
  <si>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</si>
  <si>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</si>
  <si>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</si>
  <si>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</si>
  <si>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</si>
  <si>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</si>
  <si>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</si>
  <si>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</si>
  <si>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</si>
  <si>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</si>
  <si>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</si>
  <si>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</si>
  <si>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</si>
  <si>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</si>
  <si>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</si>
  <si>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</si>
  <si>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</si>
  <si>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</si>
  <si>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</si>
  <si>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</si>
  <si>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</si>
  <si>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</si>
  <si>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</si>
  <si>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</si>
  <si>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</si>
  <si>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</si>
  <si>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</si>
  <si>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</si>
  <si>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</si>
  <si>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</si>
  <si>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</si>
  <si>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</si>
  <si>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</si>
  <si>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</si>
  <si>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</si>
  <si>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</si>
  <si>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</si>
  <si>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</si>
  <si>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</si>
  <si>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</si>
  <si>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</si>
  <si>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</si>
  <si>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</si>
  <si>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</si>
  <si>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</si>
  <si>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</si>
  <si>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</si>
  <si>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</si>
  <si>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</si>
  <si>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</si>
  <si>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</si>
  <si>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</si>
  <si>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</si>
  <si>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</si>
  <si>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</si>
  <si>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</si>
  <si>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</si>
  <si>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</si>
  <si>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</si>
  <si>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</si>
  <si>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</si>
  <si>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</si>
  <si>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</si>
  <si>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</si>
  <si>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</si>
  <si>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</si>
  <si>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</si>
  <si>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</si>
  <si>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</si>
  <si>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</si>
  <si>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</si>
  <si>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</si>
  <si>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</si>
  <si>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</si>
  <si>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</si>
  <si>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</si>
  <si>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</si>
  <si>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</si>
  <si>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</si>
  <si>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</si>
  <si>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</si>
  <si>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</si>
  <si>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</si>
  <si>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</si>
  <si>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</si>
  <si>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</si>
  <si>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</si>
  <si>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</si>
  <si>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</si>
  <si>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</si>
  <si>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</si>
  <si>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</si>
  <si>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</si>
  <si>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</si>
  <si>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</si>
  <si>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</si>
  <si>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</si>
  <si>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</si>
  <si>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</si>
  <si>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</si>
  <si>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</si>
  <si>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</si>
  <si>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</si>
  <si>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</si>
  <si>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</si>
  <si>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</si>
  <si>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</si>
  <si>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</si>
  <si>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</si>
  <si>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</si>
  <si>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</si>
  <si>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</si>
  <si>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</si>
  <si>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</si>
  <si>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</si>
  <si>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</si>
  <si>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</si>
  <si>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</si>
  <si>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</si>
  <si>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</si>
  <si>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</si>
  <si>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</si>
  <si>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</si>
  <si>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</si>
  <si>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</si>
  <si>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</si>
  <si>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</si>
  <si>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</si>
  <si>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</si>
  <si>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</si>
  <si>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</si>
  <si>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</si>
  <si>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</si>
  <si>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</si>
  <si>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</si>
  <si>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</si>
  <si>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</si>
  <si>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</si>
  <si>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</si>
  <si>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</si>
  <si>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</si>
  <si>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</si>
  <si>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</si>
  <si>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</si>
  <si>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</si>
  <si>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</si>
  <si>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</si>
  <si>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</si>
  <si>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</si>
  <si>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</si>
  <si>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</si>
  <si>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</si>
  <si>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</si>
  <si>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</si>
  <si>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</si>
  <si>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</si>
  <si>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</si>
  <si>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</si>
  <si>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</si>
  <si>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</si>
  <si>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</si>
  <si>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</si>
  <si>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</si>
  <si>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</si>
  <si>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</si>
  <si>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</si>
  <si>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</si>
  <si>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</si>
  <si>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</si>
  <si>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</si>
  <si>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</si>
  <si>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</si>
  <si>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</si>
  <si>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</si>
  <si>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</si>
  <si>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</si>
  <si>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</si>
  <si>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</si>
  <si>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</si>
  <si>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</si>
  <si>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</si>
  <si>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</si>
  <si>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</si>
  <si>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</si>
  <si>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</si>
  <si>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</si>
  <si>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</si>
  <si>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</si>
  <si>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</si>
  <si>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</si>
  <si>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</si>
  <si>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</si>
  <si>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</si>
  <si>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</si>
  <si>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</si>
  <si>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</si>
  <si>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</si>
  <si>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</si>
  <si>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</si>
  <si>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</si>
  <si>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</si>
  <si>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INGUN Prüfmittelbau GmbH</t>
  </si>
  <si>
    <t>Christian Renner</t>
  </si>
  <si>
    <t>christian.renner@de.ingun.com</t>
  </si>
  <si>
    <t>+49 7531 8105 310</t>
  </si>
  <si>
    <t>Suppliers do not provide a list of the smelters</t>
  </si>
  <si>
    <t>Langjährige Lieferantenbeziehung und enge Abstimmung stellt Bezug aus vertrauenswürdigen Quellen sicher. Long-standing supplier relationships and close coordination ensures procurement from trustworthy sources.</t>
  </si>
  <si>
    <t>Siehe A. See A.</t>
  </si>
  <si>
    <t>Die Beschaffung aus nicht zertifizierten Quellen wird nach Bekanntwerden reaktiv unterbunden. Procurement from non-certified sources is proactively halted as soon as this is discovered.</t>
  </si>
  <si>
    <t>E-Mail</t>
  </si>
  <si>
    <t>CMRT-Revisionen werden auf neue Inhalte geprüft und bei Bedarf Maßnahmen abgeleitet. CMRT revisions are checked for new content and measures are taken if necessary.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</si>
</sst>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hristian.renner@de.ingun.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hristian.renner@de.ingun.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9"/>
      <c r="B2" s="5" t="s">
        <v>843</v>
      </c>
      <c r="C2" s="3"/>
      <c r="D2" s="175"/>
      <c r="E2" s="3"/>
      <c r="F2" s="3"/>
      <c r="G2" s="25"/>
    </row>
    <row r="3" spans="1:7">
      <c r="A3" s="299"/>
      <c r="B3" s="3" t="s">
        <v>835</v>
      </c>
      <c r="C3" s="5"/>
      <c r="D3" s="176"/>
      <c r="E3" s="3"/>
      <c r="F3" s="5"/>
      <c r="G3" s="25"/>
    </row>
    <row r="4" spans="1:7" ht="15.75">
      <c r="A4" s="299"/>
      <c r="B4" s="30" t="s">
        <v>845</v>
      </c>
      <c r="C4" s="6"/>
      <c r="D4" s="177"/>
      <c r="E4" s="3"/>
      <c r="F4" s="6"/>
      <c r="G4" s="25"/>
    </row>
    <row r="5" spans="1:7">
      <c r="A5" s="299"/>
      <c r="B5" s="29" t="s">
        <v>1036</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846</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844</v>
      </c>
      <c r="C12" s="32" t="s">
        <v>847</v>
      </c>
      <c r="D12" s="179" t="s">
        <v>848</v>
      </c>
      <c r="E12" s="32" t="s">
        <v>612</v>
      </c>
      <c r="F12" s="32" t="s">
        <v>613</v>
      </c>
      <c r="G12" s="25"/>
    </row>
    <row r="13" spans="1:7" ht="33.75">
      <c r="A13" s="299"/>
      <c r="B13" s="2">
        <v>1</v>
      </c>
      <c r="C13" s="27" t="s">
        <v>1084</v>
      </c>
      <c r="D13" s="28" t="s">
        <v>872</v>
      </c>
      <c r="E13" s="163" t="s">
        <v>849</v>
      </c>
      <c r="F13" s="163"/>
      <c r="G13" s="25"/>
    </row>
    <row r="14" spans="1:7" ht="33.75">
      <c r="A14" s="299"/>
      <c r="B14" s="2">
        <v>2</v>
      </c>
      <c r="C14" s="27" t="s">
        <v>1084</v>
      </c>
      <c r="D14" s="28" t="s">
        <v>1021</v>
      </c>
      <c r="E14" s="163" t="s">
        <v>530</v>
      </c>
      <c r="F14" s="163" t="s">
        <v>531</v>
      </c>
      <c r="G14" s="25"/>
    </row>
    <row r="15" spans="1:7" ht="89.1" customHeight="1">
      <c r="A15" s="299"/>
      <c r="B15" s="305">
        <v>2.0099999999999998</v>
      </c>
      <c r="C15" s="296" t="s">
        <v>1084</v>
      </c>
      <c r="D15" s="308" t="s">
        <v>2246</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1084</v>
      </c>
      <c r="D18" s="308" t="s">
        <v>2247</v>
      </c>
      <c r="E18" s="164" t="s">
        <v>439</v>
      </c>
      <c r="F18" s="164" t="s">
        <v>525</v>
      </c>
      <c r="G18" s="25"/>
    </row>
    <row r="19" spans="1:7" ht="71.099999999999994"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314">
        <v>2.0299999999999998</v>
      </c>
      <c r="C22" s="314" t="s">
        <v>818</v>
      </c>
      <c r="D22" s="293" t="s">
        <v>2248</v>
      </c>
      <c r="E22" s="296" t="s">
        <v>437</v>
      </c>
      <c r="F22" s="164" t="s">
        <v>460</v>
      </c>
      <c r="G22" s="25"/>
    </row>
    <row r="23" spans="1:7" ht="109.5" customHeight="1">
      <c r="A23" s="299"/>
      <c r="B23" s="315"/>
      <c r="C23" s="315"/>
      <c r="D23" s="294"/>
      <c r="E23" s="297"/>
      <c r="F23" s="165" t="s">
        <v>819</v>
      </c>
      <c r="G23" s="25"/>
    </row>
    <row r="24" spans="1:7" ht="74.25" customHeight="1">
      <c r="A24" s="299"/>
      <c r="B24" s="316"/>
      <c r="C24" s="316"/>
      <c r="D24" s="295"/>
      <c r="E24" s="298"/>
      <c r="F24" s="27" t="s">
        <v>436</v>
      </c>
      <c r="G24" s="25"/>
    </row>
    <row r="25" spans="1:7" ht="72" customHeight="1">
      <c r="A25" s="299"/>
      <c r="B25" s="2" t="s">
        <v>458</v>
      </c>
      <c r="C25" s="27" t="s">
        <v>459</v>
      </c>
      <c r="D25" s="28" t="s">
        <v>2249</v>
      </c>
      <c r="E25" s="27" t="s">
        <v>2244</v>
      </c>
      <c r="F25" s="27" t="s">
        <v>461</v>
      </c>
      <c r="G25" s="25"/>
    </row>
    <row r="26" spans="1:7" ht="98.1" customHeight="1">
      <c r="A26" s="299"/>
      <c r="B26" s="311">
        <v>3</v>
      </c>
      <c r="C26" s="305" t="s">
        <v>70</v>
      </c>
      <c r="D26" s="308" t="s">
        <v>2250</v>
      </c>
      <c r="E26" s="296" t="s">
        <v>0</v>
      </c>
      <c r="F26" s="164" t="s">
        <v>64</v>
      </c>
      <c r="G26" s="25"/>
    </row>
    <row r="27" spans="1:7" ht="90" customHeight="1">
      <c r="A27" s="299"/>
      <c r="B27" s="312"/>
      <c r="C27" s="306"/>
      <c r="D27" s="309"/>
      <c r="E27" s="297"/>
      <c r="F27" s="165" t="s">
        <v>59</v>
      </c>
      <c r="G27" s="25"/>
    </row>
    <row r="28" spans="1:7" ht="19.350000000000001" customHeight="1">
      <c r="A28" s="299"/>
      <c r="B28" s="312"/>
      <c r="C28" s="306"/>
      <c r="D28" s="309"/>
      <c r="E28" s="297"/>
      <c r="F28" s="165" t="s">
        <v>60</v>
      </c>
      <c r="G28" s="25"/>
    </row>
    <row r="29" spans="1:7" ht="74.650000000000006" customHeight="1">
      <c r="A29" s="299"/>
      <c r="B29" s="312"/>
      <c r="C29" s="306"/>
      <c r="D29" s="309"/>
      <c r="E29" s="297"/>
      <c r="F29" s="165" t="s">
        <v>61</v>
      </c>
      <c r="G29" s="25"/>
    </row>
    <row r="30" spans="1:7" ht="62.65" customHeight="1">
      <c r="A30" s="299"/>
      <c r="B30" s="312"/>
      <c r="C30" s="306"/>
      <c r="D30" s="309"/>
      <c r="E30" s="297"/>
      <c r="F30" s="165" t="s">
        <v>62</v>
      </c>
      <c r="G30" s="25"/>
    </row>
    <row r="31" spans="1:7" ht="81" customHeight="1">
      <c r="A31" s="299"/>
      <c r="B31" s="312"/>
      <c r="C31" s="306"/>
      <c r="D31" s="309"/>
      <c r="E31" s="297"/>
      <c r="F31" s="165" t="s">
        <v>63</v>
      </c>
      <c r="G31" s="25"/>
    </row>
    <row r="32" spans="1:7" ht="48.75" customHeight="1">
      <c r="A32" s="299"/>
      <c r="B32" s="312"/>
      <c r="C32" s="306"/>
      <c r="D32" s="309"/>
      <c r="E32" s="297"/>
      <c r="F32" s="165" t="s">
        <v>66</v>
      </c>
      <c r="G32" s="25"/>
    </row>
    <row r="33" spans="1:7" ht="98.65" customHeight="1">
      <c r="A33" s="299"/>
      <c r="B33" s="312"/>
      <c r="C33" s="306"/>
      <c r="D33" s="309"/>
      <c r="E33" s="297"/>
      <c r="F33" s="165" t="s">
        <v>65</v>
      </c>
      <c r="G33" s="25"/>
    </row>
    <row r="34" spans="1:7" ht="89.1" customHeight="1">
      <c r="A34" s="299"/>
      <c r="B34" s="312"/>
      <c r="C34" s="306"/>
      <c r="D34" s="309"/>
      <c r="E34" s="297"/>
      <c r="F34" s="165" t="s">
        <v>67</v>
      </c>
      <c r="G34" s="25"/>
    </row>
    <row r="35" spans="1:7" ht="29.1" customHeight="1">
      <c r="A35" s="299"/>
      <c r="B35" s="312"/>
      <c r="C35" s="306"/>
      <c r="D35" s="309"/>
      <c r="E35" s="297"/>
      <c r="F35" s="165" t="s">
        <v>68</v>
      </c>
      <c r="G35" s="25"/>
    </row>
    <row r="36" spans="1:7" ht="126.75">
      <c r="A36" s="299"/>
      <c r="B36" s="313"/>
      <c r="C36" s="307"/>
      <c r="D36" s="310"/>
      <c r="E36" s="298"/>
      <c r="F36" s="166" t="s">
        <v>69</v>
      </c>
      <c r="G36" s="25"/>
    </row>
    <row r="37" spans="1:7" ht="112.5">
      <c r="A37" s="299"/>
      <c r="B37" s="141">
        <v>3.01</v>
      </c>
      <c r="C37" s="142" t="s">
        <v>70</v>
      </c>
      <c r="D37" s="28" t="s">
        <v>2251</v>
      </c>
      <c r="E37" s="167" t="s">
        <v>1323</v>
      </c>
      <c r="F37" s="168" t="s">
        <v>1427</v>
      </c>
      <c r="G37" s="25"/>
    </row>
    <row r="38" spans="1:7" ht="101.25">
      <c r="A38" s="299"/>
      <c r="B38" s="141">
        <v>3.02</v>
      </c>
      <c r="C38" s="142" t="s">
        <v>1356</v>
      </c>
      <c r="D38" s="28" t="s">
        <v>2252</v>
      </c>
      <c r="E38" s="167" t="s">
        <v>1371</v>
      </c>
      <c r="F38" s="168" t="s">
        <v>1428</v>
      </c>
      <c r="G38" s="25"/>
    </row>
    <row r="39" spans="1:7" ht="101.25">
      <c r="A39" s="299"/>
      <c r="B39" s="150">
        <v>4</v>
      </c>
      <c r="C39" s="149" t="s">
        <v>1524</v>
      </c>
      <c r="D39" s="28" t="s">
        <v>2253</v>
      </c>
      <c r="E39" s="27" t="s">
        <v>2198</v>
      </c>
      <c r="F39" s="27" t="s">
        <v>1525</v>
      </c>
      <c r="G39" s="25"/>
    </row>
    <row r="40" spans="1:7" ht="56.25">
      <c r="A40" s="299"/>
      <c r="B40" s="141">
        <v>4.01</v>
      </c>
      <c r="C40" s="149" t="s">
        <v>1524</v>
      </c>
      <c r="D40" s="28" t="s">
        <v>2255</v>
      </c>
      <c r="E40" s="27" t="s">
        <v>2210</v>
      </c>
      <c r="F40" s="27" t="s">
        <v>2214</v>
      </c>
      <c r="G40" s="25"/>
    </row>
    <row r="41" spans="1:7" ht="56.25">
      <c r="A41" s="299"/>
      <c r="B41" s="141" t="s">
        <v>2242</v>
      </c>
      <c r="C41" s="149" t="s">
        <v>1524</v>
      </c>
      <c r="D41" s="28" t="s">
        <v>2254</v>
      </c>
      <c r="E41" s="27" t="s">
        <v>2245</v>
      </c>
      <c r="F41" s="27" t="s">
        <v>2243</v>
      </c>
      <c r="G41" s="25"/>
    </row>
    <row r="42" spans="1:7" ht="56.25">
      <c r="A42" s="299"/>
      <c r="B42" s="141" t="s">
        <v>2276</v>
      </c>
      <c r="C42" s="149" t="s">
        <v>1524</v>
      </c>
      <c r="D42" s="28" t="s">
        <v>2281</v>
      </c>
      <c r="E42" s="27" t="s">
        <v>2244</v>
      </c>
      <c r="F42" s="27" t="s">
        <v>2277</v>
      </c>
      <c r="G42" s="25"/>
    </row>
    <row r="43" spans="1:7" ht="123.75">
      <c r="A43" s="299"/>
      <c r="B43" s="160">
        <v>4.0999999999999996</v>
      </c>
      <c r="C43" s="149" t="s">
        <v>2280</v>
      </c>
      <c r="D43" s="161">
        <v>42867</v>
      </c>
      <c r="E43" s="169" t="s">
        <v>2283</v>
      </c>
      <c r="F43" s="27" t="s">
        <v>2282</v>
      </c>
      <c r="G43" s="25"/>
    </row>
    <row r="44" spans="1:7" ht="78.75">
      <c r="A44" s="299"/>
      <c r="B44" s="160">
        <v>4.2</v>
      </c>
      <c r="C44" s="149" t="s">
        <v>2280</v>
      </c>
      <c r="D44" s="161">
        <v>42704</v>
      </c>
      <c r="E44" s="169" t="s">
        <v>2479</v>
      </c>
      <c r="F44" s="27" t="s">
        <v>2454</v>
      </c>
      <c r="G44" s="25"/>
    </row>
    <row r="45" spans="1:7" ht="157.5">
      <c r="A45" s="299"/>
      <c r="B45" s="202">
        <v>5</v>
      </c>
      <c r="C45" s="149" t="s">
        <v>2280</v>
      </c>
      <c r="D45" s="161">
        <v>42867</v>
      </c>
      <c r="E45" s="169" t="s">
        <v>12705</v>
      </c>
      <c r="F45" s="27" t="s">
        <v>12427</v>
      </c>
      <c r="G45" s="25"/>
    </row>
    <row r="46" spans="1:7" ht="45">
      <c r="A46" s="299"/>
      <c r="B46" s="160">
        <v>5.01</v>
      </c>
      <c r="C46" s="149" t="s">
        <v>2280</v>
      </c>
      <c r="D46" s="161">
        <v>42907</v>
      </c>
      <c r="E46" s="169" t="s">
        <v>15521</v>
      </c>
      <c r="F46" s="27" t="s">
        <v>12427</v>
      </c>
      <c r="G46" s="25"/>
    </row>
    <row r="47" spans="1:7" ht="67.5">
      <c r="A47" s="299"/>
      <c r="B47" s="160">
        <v>5.0999999999999996</v>
      </c>
      <c r="C47" s="149" t="s">
        <v>2280</v>
      </c>
      <c r="D47" s="161">
        <v>43070</v>
      </c>
      <c r="E47" s="169" t="s">
        <v>12915</v>
      </c>
      <c r="F47" s="27" t="s">
        <v>12916</v>
      </c>
      <c r="G47" s="25"/>
    </row>
    <row r="48" spans="1:7" ht="56.25">
      <c r="A48" s="299"/>
      <c r="B48" s="160">
        <v>5.1100000000000003</v>
      </c>
      <c r="C48" s="149" t="s">
        <v>13152</v>
      </c>
      <c r="D48" s="161">
        <v>43217</v>
      </c>
      <c r="E48" s="169" t="s">
        <v>13278</v>
      </c>
      <c r="F48" s="27" t="s">
        <v>13186</v>
      </c>
      <c r="G48" s="25"/>
    </row>
    <row r="49" spans="1:7" ht="56.25">
      <c r="A49" s="299"/>
      <c r="B49" s="160">
        <v>5.12</v>
      </c>
      <c r="C49" s="149" t="s">
        <v>13152</v>
      </c>
      <c r="D49" s="161">
        <v>43581</v>
      </c>
      <c r="E49" s="169" t="s">
        <v>13278</v>
      </c>
      <c r="F49" s="27" t="s">
        <v>13832</v>
      </c>
      <c r="G49" s="25"/>
    </row>
    <row r="50" spans="1:7" ht="78.75">
      <c r="A50" s="299"/>
      <c r="B50" s="202">
        <v>6</v>
      </c>
      <c r="C50" s="149" t="s">
        <v>13152</v>
      </c>
      <c r="D50" s="161">
        <v>43964</v>
      </c>
      <c r="E50" s="169" t="s">
        <v>14048</v>
      </c>
      <c r="F50" s="27" t="s">
        <v>13835</v>
      </c>
      <c r="G50" s="25"/>
    </row>
    <row r="51" spans="1:7" ht="45">
      <c r="A51" s="299"/>
      <c r="B51" s="160">
        <v>6.01</v>
      </c>
      <c r="C51" s="149" t="s">
        <v>13152</v>
      </c>
      <c r="D51" s="161">
        <v>43970</v>
      </c>
      <c r="E51" s="169" t="s">
        <v>15522</v>
      </c>
      <c r="F51" s="169" t="s">
        <v>13835</v>
      </c>
      <c r="G51" s="25"/>
    </row>
    <row r="52" spans="1:7" ht="45">
      <c r="A52" s="299"/>
      <c r="B52" s="160">
        <v>6.1</v>
      </c>
      <c r="C52" s="149" t="s">
        <v>13152</v>
      </c>
      <c r="D52" s="161">
        <v>44314</v>
      </c>
      <c r="E52" s="169" t="s">
        <v>15514</v>
      </c>
      <c r="F52" s="169" t="s">
        <v>15043</v>
      </c>
      <c r="G52" s="25"/>
    </row>
    <row r="53" spans="1:7" ht="45">
      <c r="A53" s="299"/>
      <c r="B53" s="160">
        <v>6.2</v>
      </c>
      <c r="C53" s="149" t="s">
        <v>13152</v>
      </c>
      <c r="D53" s="161">
        <v>44678</v>
      </c>
      <c r="E53" s="169" t="s">
        <v>15514</v>
      </c>
      <c r="F53" s="169" t="s">
        <v>15513</v>
      </c>
      <c r="G53" s="25"/>
    </row>
    <row r="54" spans="1:7" ht="45">
      <c r="A54" s="299"/>
      <c r="B54" s="160">
        <v>6.21</v>
      </c>
      <c r="C54" s="149" t="s">
        <v>13152</v>
      </c>
      <c r="D54" s="161">
        <v>44687</v>
      </c>
      <c r="E54" s="169" t="s">
        <v>15523</v>
      </c>
      <c r="F54" s="169" t="s">
        <v>15513</v>
      </c>
      <c r="G54" s="25"/>
    </row>
    <row r="55" spans="1:7" ht="45">
      <c r="A55" s="299"/>
      <c r="B55" s="160">
        <v>6.22</v>
      </c>
      <c r="C55" s="149" t="s">
        <v>13152</v>
      </c>
      <c r="D55" s="275">
        <v>44692</v>
      </c>
      <c r="E55" s="169" t="s">
        <v>15522</v>
      </c>
      <c r="F55" s="169" t="s">
        <v>15513</v>
      </c>
      <c r="G55" s="25"/>
    </row>
    <row r="56" spans="1:7" ht="56.25">
      <c r="A56" s="299"/>
      <c r="B56" s="202">
        <v>6.3</v>
      </c>
      <c r="C56" s="149" t="s">
        <v>13152</v>
      </c>
      <c r="D56" s="275">
        <v>45051</v>
      </c>
      <c r="E56" s="169" t="s">
        <v>15790</v>
      </c>
      <c r="F56" s="169" t="s">
        <v>15571</v>
      </c>
      <c r="G56" s="25"/>
    </row>
    <row r="57" spans="1:7" ht="45">
      <c r="A57" s="299"/>
      <c r="B57" s="160">
        <v>6.31</v>
      </c>
      <c r="C57" s="149" t="s">
        <v>13152</v>
      </c>
      <c r="D57" s="275">
        <v>45072</v>
      </c>
      <c r="E57" s="169" t="s">
        <v>15792</v>
      </c>
      <c r="F57" s="169" t="s">
        <v>15571</v>
      </c>
      <c r="G57" s="25"/>
    </row>
    <row r="58" spans="1:7" ht="13.5" thickBot="1">
      <c r="A58" s="300"/>
      <c r="B58" s="301" t="str">
        <f ca="1">OFFSET(L!$C$1,MATCH("General"&amp;"Cpy",L!$A:$A,0)-1,SL,,)</f>
        <v>© 2023 Responsible Minerals Initiative. All rights reserved.</v>
      </c>
      <c r="C58" s="301"/>
      <c r="D58" s="301"/>
      <c r="E58" s="301"/>
      <c r="F58" s="301"/>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1B4FF1B-40CF-4F95-ADCD-FAF56DD8ABC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B97B6E2-B4B0-4C53-951F-270B9510B94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8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4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4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50">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60">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21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5">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9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75">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75"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75">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1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5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75">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25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5">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9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10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sqref="A1:K1"/>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15797</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15796</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15797</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45407</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490</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490</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490</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490</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490</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490</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489</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2482</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2482</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2482</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489</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489</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489</v>
      </c>
      <c r="E65" s="327"/>
      <c r="F65" s="47"/>
      <c r="G65" s="328" t="s">
        <v>15799</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489</v>
      </c>
      <c r="E75" s="327"/>
      <c r="F75" s="57"/>
      <c r="G75" s="328" t="s">
        <v>15800</v>
      </c>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54"/>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28" t="s">
        <v>15801</v>
      </c>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489</v>
      </c>
      <c r="E81" s="327"/>
      <c r="F81" s="57"/>
      <c r="G81" s="328" t="s">
        <v>15802</v>
      </c>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12394</v>
      </c>
      <c r="E83" s="327"/>
      <c r="F83" s="57"/>
      <c r="G83" s="328" t="s">
        <v>15803</v>
      </c>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489</v>
      </c>
      <c r="E85" s="340"/>
      <c r="F85" s="57"/>
      <c r="G85" s="328" t="s">
        <v>15801</v>
      </c>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489</v>
      </c>
      <c r="E87" s="327"/>
      <c r="F87" s="57"/>
      <c r="G87" s="328" t="s">
        <v>15804</v>
      </c>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1.5">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2F77489-27BC-4871-8D08-4C5A67090E96}"/>
    <hyperlink ref="D20" r:id="rId4" xr:uid="{9452F439-9E54-4009-ABD6-D8A6BF2C69D1}"/>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651</v>
      </c>
      <c r="B5" s="182" t="str">
        <f ca="1">IF(LEN(A5)=0,"",INDEX('Smelter Look-up'!$A:$A,MATCH($A5,'Smelter Look-up'!$E:$E,0)))</f>
        <v>Gold</v>
      </c>
      <c r="C5" s="186" t="str">
        <f ca="1">IF(LEN(A5)=0,"",INDEX('Smelter Look-up'!$C:$C,MATCH($A5,'Smelter Look-up'!$E:$E,0)))</f>
        <v>Agosi AG</v>
      </c>
      <c r="D5" s="230"/>
      <c r="E5" s="182" t="str">
        <f ca="1">IF(ISERROR($V5),"",OFFSET('Smelter Look-up'!$D$4,$V5-4,0)&amp;"")</f>
        <v>GERMANY</v>
      </c>
      <c r="F5" s="182" t="str">
        <f ca="1">IF(ISERROR($V5),"",OFFSET('Smelter Look-up'!$E$4,$V5-4,0))</f>
        <v>CID000035</v>
      </c>
      <c r="G5" s="182" t="str">
        <f ca="1">IF(C5=$X$4,IF(ISERROR($V5),"Enter smelter details","RMI"),IF(ISERROR($V5),"",OFFSET('Smelter Look-up'!$F$4,$V5-4,0)))</f>
        <v>RMI</v>
      </c>
      <c r="H5" s="183">
        <f ca="1">IF(ISERROR($V5),"",OFFSET('Smelter Look-up'!$G$4,$V5-4,0))</f>
        <v>0</v>
      </c>
      <c r="I5" s="184" t="str">
        <f ca="1">IF(ISERROR($V5),"",OFFSET('Smelter Look-up'!$H$4,$V5-4,0))</f>
        <v>Pforzheim</v>
      </c>
      <c r="J5" s="184" t="str">
        <f ca="1">IF(ISERROR($V5),"",OFFSET('Smelter Look-up'!$I$4,$V5-4,0))</f>
        <v>Baden-Württemberg</v>
      </c>
      <c r="K5" s="224"/>
      <c r="L5" s="224"/>
      <c r="M5" s="224"/>
      <c r="N5" s="224"/>
      <c r="O5" s="224"/>
      <c r="P5" s="185"/>
      <c r="Q5" s="225"/>
      <c r="R5" s="182" t="str">
        <f ca="1">IF(ISERROR($V5),"",OFFSET('Smelter Look-up'!$C$4,$V5-4,0)&amp;"")</f>
        <v>Agosi AG</v>
      </c>
      <c r="S5" s="181" t="str">
        <f t="shared" ref="S5" ca="1" si="0">IF(B5="","",IF(ISERROR(MATCH($E5,CL,0)),"Unknown",INDIRECT("'C'!$A$"&amp;MATCH($E5,CL,0)+1)))</f>
        <v>DE</v>
      </c>
      <c r="T5" s="181" t="str">
        <f ca="1">IF(B5="","",IF(ISERROR(MATCH($J5,SorP!$B$1:$B$6279,0)),"",INDIRECT("'SorP'!$A$"&amp;MATCH($S5&amp;$J5,SorP!C:C,0))))</f>
        <v>DE-BW</v>
      </c>
      <c r="U5" s="201"/>
      <c r="V5" s="226">
        <f ca="1">IF(C5="",NA(),IF(OR(C5="Smelter not listed",C5="Smelter not yet identified"),MATCH($B5&amp;$D5,'Smelter Look-up'!$J:$J,0),MATCH($B5&amp;$C5,'Smelter Look-up'!$J:$J,0)))</f>
        <v>10</v>
      </c>
      <c r="X5" s="227">
        <f t="shared" ref="X5" ca="1" si="1">IF(AND(C5="Smelter not listed",OR(LEN(D5)=0,LEN(E5)=0)),1,0)</f>
        <v>0</v>
      </c>
      <c r="AB5" s="228" t="str">
        <f t="shared" ref="AB5" ca="1" si="2">B5&amp;C5</f>
        <v>GoldAgosi AG</v>
      </c>
    </row>
    <row r="6" spans="1:34" s="227" customFormat="1" ht="19.899999999999999" customHeight="1">
      <c r="A6" s="262" t="s">
        <v>662</v>
      </c>
      <c r="B6" s="182" t="str">
        <f ca="1">IF(LEN(A6)=0,"",INDEX('Smelter Look-up'!$A:$A,MATCH($A6,'Smelter Look-up'!$E:$E,0)))</f>
        <v>Gold</v>
      </c>
      <c r="C6" s="186" t="str">
        <f ca="1">IF(LEN(A6)=0,"",INDEX('Smelter Look-up'!$C:$C,MATCH($A6,'Smelter Look-up'!$E:$E,0)))</f>
        <v>C. Hafner GmbH + Co. KG</v>
      </c>
      <c r="D6" s="230"/>
      <c r="E6" s="182" t="str">
        <f ca="1">IF(ISERROR($V6),"",OFFSET('Smelter Look-up'!$D$4,$V6-4,0)&amp;"")</f>
        <v>GERMANY</v>
      </c>
      <c r="F6" s="182" t="str">
        <f ca="1">IF(ISERROR($V6),"",OFFSET('Smelter Look-up'!$E$4,$V6-4,0))</f>
        <v>CID000176</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c r="R6" s="182" t="str">
        <f ca="1">IF(ISERROR($V6),"",OFFSET('Smelter Look-up'!$C$4,$V6-4,0)&amp;"")</f>
        <v>C. Hafner GmbH + Co. KG</v>
      </c>
      <c r="S6" s="181" t="str">
        <f t="shared" ref="S6:S37" ca="1" si="3">IF(B6="","",IF(ISERROR(MATCH($E6,CL,0)),"Unknown",INDIRECT("'C'!$A$"&amp;MATCH($E6,CL,0)+1)))</f>
        <v>DE</v>
      </c>
      <c r="T6" s="181" t="str">
        <f ca="1">IF(B6="","",IF(ISERROR(MATCH($J6,SorP!$B$1:$B$6279,0)),"",INDIRECT("'SorP'!$A$"&amp;MATCH($S6&amp;$J6,SorP!C:C,0))))</f>
        <v>DE-BW</v>
      </c>
      <c r="U6" s="201"/>
      <c r="V6" s="226">
        <f ca="1">IF(C6="",NA(),IF(OR(C6="Smelter not listed",C6="Smelter not yet identified"),MATCH($B6&amp;$D6,'Smelter Look-up'!$J:$J,0),MATCH($B6&amp;$C6,'Smelter Look-up'!$J:$J,0)))</f>
        <v>43</v>
      </c>
      <c r="X6" s="227">
        <f t="shared" ref="X6:X37" ca="1" si="4">IF(AND(C6="Smelter not listed",OR(LEN(D6)=0,LEN(E6)=0)),1,0)</f>
        <v>0</v>
      </c>
      <c r="AB6" s="228" t="str">
        <f t="shared" ref="AB6:AB37" ca="1" si="5">B6&amp;C6</f>
        <v>GoldC. Hafner GmbH + Co. KG</v>
      </c>
    </row>
    <row r="7" spans="1:34" s="227" customFormat="1" ht="19.899999999999999" customHeight="1">
      <c r="A7" s="262" t="s">
        <v>676</v>
      </c>
      <c r="B7" s="182" t="str">
        <f ca="1">IF(LEN(A7)=0,"",INDEX('Smelter Look-up'!$A:$A,MATCH($A7,'Smelter Look-up'!$E:$E,0)))</f>
        <v>Gold</v>
      </c>
      <c r="C7" s="186" t="str">
        <f ca="1">IF(LEN(A7)=0,"",INDEX('Smelter Look-up'!$C:$C,MATCH($A7,'Smelter Look-up'!$E:$E,0)))</f>
        <v>Heimerle + Meule GmbH</v>
      </c>
      <c r="D7" s="230"/>
      <c r="E7" s="182" t="str">
        <f ca="1">IF(ISERROR($V7),"",OFFSET('Smelter Look-up'!$D$4,$V7-4,0)&amp;"")</f>
        <v>GERMANY</v>
      </c>
      <c r="F7" s="182" t="str">
        <f ca="1">IF(ISERROR($V7),"",OFFSET('Smelter Look-up'!$E$4,$V7-4,0))</f>
        <v>CID000694</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Heimerle + Meule GmbH</v>
      </c>
      <c r="S7" s="181" t="str">
        <f t="shared" ca="1" si="3"/>
        <v>DE</v>
      </c>
      <c r="T7" s="181" t="str">
        <f ca="1">IF(B7="","",IF(ISERROR(MATCH($J7,SorP!$B$1:$B$6279,0)),"",INDIRECT("'SorP'!$A$"&amp;MATCH($S7&amp;$J7,SorP!C:C,0))))</f>
        <v>DE-BW</v>
      </c>
      <c r="U7" s="201"/>
      <c r="V7" s="226">
        <f ca="1">IF(C7="",NA(),IF(OR(C7="Smelter not listed",C7="Smelter not yet identified"),MATCH($B7&amp;$D7,'Smelter Look-up'!$J:$J,0),MATCH($B7&amp;$C7,'Smelter Look-up'!$J:$J,0)))</f>
        <v>101</v>
      </c>
      <c r="X7" s="227">
        <f t="shared" ca="1" si="4"/>
        <v>0</v>
      </c>
      <c r="AB7" s="228" t="str">
        <f t="shared" ca="1" si="5"/>
        <v>GoldHeimerle + Meule GmbH</v>
      </c>
    </row>
    <row r="8" spans="1:34" s="227" customFormat="1" ht="19.899999999999999" customHeight="1">
      <c r="A8" s="262" t="s">
        <v>2204</v>
      </c>
      <c r="B8" s="182" t="str">
        <f ca="1">IF(LEN(A8)=0,"",INDEX('Smelter Look-up'!$A:$A,MATCH($A8,'Smelter Look-up'!$E:$E,0)))</f>
        <v>Gold</v>
      </c>
      <c r="C8" s="186" t="str">
        <f ca="1">IF(LEN(A8)=0,"",INDEX('Smelter Look-up'!$C:$C,MATCH($A8,'Smelter Look-up'!$E:$E,0)))</f>
        <v>WIELAND Edelmetalle GmbH</v>
      </c>
      <c r="D8" s="230"/>
      <c r="E8" s="182" t="str">
        <f ca="1">IF(ISERROR($V8),"",OFFSET('Smelter Look-up'!$D$4,$V8-4,0)&amp;"")</f>
        <v>GERMANY</v>
      </c>
      <c r="F8" s="182" t="str">
        <f ca="1">IF(ISERROR($V8),"",OFFSET('Smelter Look-up'!$E$4,$V8-4,0))</f>
        <v>CID002778</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c r="L8" s="224"/>
      <c r="M8" s="224"/>
      <c r="N8" s="224"/>
      <c r="O8" s="224"/>
      <c r="P8" s="185"/>
      <c r="Q8" s="225"/>
      <c r="R8" s="182" t="str">
        <f ca="1">IF(ISERROR($V8),"",OFFSET('Smelter Look-up'!$C$4,$V8-4,0)&amp;"")</f>
        <v>WIELAND Edelmetalle GmbH</v>
      </c>
      <c r="S8" s="181" t="str">
        <f t="shared" ca="1" si="3"/>
        <v>DE</v>
      </c>
      <c r="T8" s="181" t="str">
        <f ca="1">IF(B8="","",IF(ISERROR(MATCH($J8,SorP!$B$1:$B$6279,0)),"",INDIRECT("'SorP'!$A$"&amp;MATCH($S8&amp;$J8,SorP!C:C,0))))</f>
        <v>DE-BW</v>
      </c>
      <c r="U8" s="201"/>
      <c r="V8" s="226">
        <f ca="1">IF(C8="",NA(),IF(OR(C8="Smelter not listed",C8="Smelter not yet identified"),MATCH($B8&amp;$D8,'Smelter Look-up'!$J:$J,0),MATCH($B8&amp;$C8,'Smelter Look-up'!$J:$J,0)))</f>
        <v>298</v>
      </c>
      <c r="X8" s="227">
        <f t="shared" ca="1" si="4"/>
        <v>0</v>
      </c>
      <c r="AB8" s="228" t="str">
        <f t="shared" ca="1" si="5"/>
        <v>GoldWIELAND Edelmetalle GmbH</v>
      </c>
    </row>
    <row r="9" spans="1:34" s="227" customFormat="1" ht="19.899999999999999" customHeight="1">
      <c r="A9" s="262" t="s">
        <v>736</v>
      </c>
      <c r="B9" s="182" t="str">
        <f ca="1">IF(LEN(A9)=0,"",INDEX('Smelter Look-up'!$A:$A,MATCH($A9,'Smelter Look-up'!$E:$E,0)))</f>
        <v>Gold</v>
      </c>
      <c r="C9" s="186" t="str">
        <f ca="1">IF(LEN(A9)=0,"",INDEX('Smelter Look-up'!$C:$C,MATCH($A9,'Smelter Look-up'!$E:$E,0)))</f>
        <v>Umicore S.A. Business Unit Precious Metals Refining</v>
      </c>
      <c r="D9" s="230"/>
      <c r="E9" s="182" t="str">
        <f ca="1">IF(ISERROR($V9),"",OFFSET('Smelter Look-up'!$D$4,$V9-4,0)&amp;"")</f>
        <v>BELGIUM</v>
      </c>
      <c r="F9" s="182" t="str">
        <f ca="1">IF(ISERROR($V9),"",OFFSET('Smelter Look-up'!$E$4,$V9-4,0))</f>
        <v>CID001980</v>
      </c>
      <c r="G9" s="182" t="str">
        <f ca="1">IF(C9=$X$4,IF(ISERROR($V9),"Enter smelter details","RMI"),IF(ISERROR($V9),"",OFFSET('Smelter Look-up'!$F$4,$V9-4,0)))</f>
        <v>RMI</v>
      </c>
      <c r="H9" s="183">
        <f ca="1">IF(ISERROR($V9),"",OFFSET('Smelter Look-up'!$G$4,$V9-4,0))</f>
        <v>0</v>
      </c>
      <c r="I9" s="184" t="str">
        <f ca="1">IF(ISERROR($V9),"",OFFSET('Smelter Look-up'!$H$4,$V9-4,0))</f>
        <v>Hoboken</v>
      </c>
      <c r="J9" s="184" t="str">
        <f ca="1">IF(ISERROR($V9),"",OFFSET('Smelter Look-up'!$I$4,$V9-4,0))</f>
        <v>Antwerpen</v>
      </c>
      <c r="K9" s="224"/>
      <c r="L9" s="224"/>
      <c r="M9" s="224"/>
      <c r="N9" s="224"/>
      <c r="O9" s="224"/>
      <c r="P9" s="185"/>
      <c r="Q9" s="225"/>
      <c r="R9" s="182" t="str">
        <f ca="1">IF(ISERROR($V9),"",OFFSET('Smelter Look-up'!$C$4,$V9-4,0)&amp;"")</f>
        <v>Umicore S.A. Business Unit Precious Metals Refining</v>
      </c>
      <c r="S9" s="181" t="str">
        <f t="shared" ca="1" si="3"/>
        <v>BE</v>
      </c>
      <c r="T9" s="181" t="str">
        <f ca="1">IF(B9="","",IF(ISERROR(MATCH($J9,SorP!$B$1:$B$6279,0)),"",INDIRECT("'SorP'!$A$"&amp;MATCH($S9&amp;$J9,SorP!C:C,0))))</f>
        <v>BE-VAN</v>
      </c>
      <c r="U9" s="201"/>
      <c r="V9" s="226">
        <f ca="1">IF(C9="",NA(),IF(OR(C9="Smelter not listed",C9="Smelter not yet identified"),MATCH($B9&amp;$D9,'Smelter Look-up'!$J:$J,0),MATCH($B9&amp;$C9,'Smelter Look-up'!$J:$J,0)))</f>
        <v>293</v>
      </c>
      <c r="X9" s="227">
        <f t="shared" ca="1" si="4"/>
        <v>0</v>
      </c>
      <c r="AB9" s="228" t="str">
        <f t="shared" ca="1" si="5"/>
        <v>GoldUmicore S.A. Business Unit Precious Metals Refining</v>
      </c>
    </row>
    <row r="10" spans="1:34" s="227" customFormat="1" ht="19.899999999999999" customHeight="1">
      <c r="A10" s="262" t="s">
        <v>705</v>
      </c>
      <c r="B10" s="182" t="str">
        <f ca="1">IF(LEN(A10)=0,"",INDEX('Smelter Look-up'!$A:$A,MATCH($A10,'Smelter Look-up'!$E:$E,0)))</f>
        <v>Gold</v>
      </c>
      <c r="C10" s="186" t="str">
        <f ca="1">IF(LEN(A10)=0,"",INDEX('Smelter Look-up'!$C:$C,MATCH($A10,'Smelter Look-up'!$E:$E,0)))</f>
        <v>Metalor Technologies S.A.</v>
      </c>
      <c r="D10" s="230"/>
      <c r="E10" s="182" t="str">
        <f ca="1">IF(ISERROR($V10),"",OFFSET('Smelter Look-up'!$D$4,$V10-4,0)&amp;"")</f>
        <v>SWITZERLAND</v>
      </c>
      <c r="F10" s="182" t="str">
        <f ca="1">IF(ISERROR($V10),"",OFFSET('Smelter Look-up'!$E$4,$V10-4,0))</f>
        <v>CID001153</v>
      </c>
      <c r="G10" s="182" t="str">
        <f ca="1">IF(C10=$X$4,IF(ISERROR($V10),"Enter smelter details","RMI"),IF(ISERROR($V10),"",OFFSET('Smelter Look-up'!$F$4,$V10-4,0)))</f>
        <v>RMI</v>
      </c>
      <c r="H10" s="183">
        <f ca="1">IF(ISERROR($V10),"",OFFSET('Smelter Look-up'!$G$4,$V10-4,0))</f>
        <v>0</v>
      </c>
      <c r="I10" s="184" t="str">
        <f ca="1">IF(ISERROR($V10),"",OFFSET('Smelter Look-up'!$H$4,$V10-4,0))</f>
        <v>Marin</v>
      </c>
      <c r="J10" s="184" t="str">
        <f ca="1">IF(ISERROR($V10),"",OFFSET('Smelter Look-up'!$I$4,$V10-4,0))</f>
        <v>Neuchâtel</v>
      </c>
      <c r="K10" s="224"/>
      <c r="L10" s="224"/>
      <c r="M10" s="224"/>
      <c r="N10" s="224"/>
      <c r="O10" s="224"/>
      <c r="P10" s="185"/>
      <c r="Q10" s="225"/>
      <c r="R10" s="182" t="str">
        <f ca="1">IF(ISERROR($V10),"",OFFSET('Smelter Look-up'!$C$4,$V10-4,0)&amp;"")</f>
        <v>Metalor Technologies S.A.</v>
      </c>
      <c r="S10" s="181" t="str">
        <f t="shared" ca="1" si="3"/>
        <v>CH</v>
      </c>
      <c r="T10" s="181" t="str">
        <f ca="1">IF(B10="","",IF(ISERROR(MATCH($J10,SorP!$B$1:$B$6279,0)),"",INDIRECT("'SorP'!$A$"&amp;MATCH($S10&amp;$J10,SorP!C:C,0))))</f>
        <v>CH-NE</v>
      </c>
      <c r="U10" s="201"/>
      <c r="V10" s="226">
        <f ca="1">IF(C10="",NA(),IF(OR(C10="Smelter not listed",C10="Smelter not yet identified"),MATCH($B10&amp;$D10,'Smelter Look-up'!$J:$J,0),MATCH($B10&amp;$C10,'Smelter Look-up'!$J:$J,0)))</f>
        <v>175</v>
      </c>
      <c r="X10" s="227">
        <f t="shared" ca="1" si="4"/>
        <v>0</v>
      </c>
      <c r="AB10" s="228" t="str">
        <f t="shared" ca="1" si="5"/>
        <v>GoldMetalor Technologies S.A.</v>
      </c>
    </row>
    <row r="11" spans="1:34" s="227" customFormat="1" ht="19.899999999999999" customHeight="1">
      <c r="A11" s="262" t="s">
        <v>706</v>
      </c>
      <c r="B11" s="182" t="str">
        <f ca="1">IF(LEN(A11)=0,"",INDEX('Smelter Look-up'!$A:$A,MATCH($A11,'Smelter Look-up'!$E:$E,0)))</f>
        <v>Gold</v>
      </c>
      <c r="C11" s="186" t="str">
        <f ca="1">IF(LEN(A11)=0,"",INDEX('Smelter Look-up'!$C:$C,MATCH($A11,'Smelter Look-up'!$E:$E,0)))</f>
        <v>Metalor USA Refining Corporation</v>
      </c>
      <c r="D11" s="230"/>
      <c r="E11" s="182" t="str">
        <f ca="1">IF(ISERROR($V11),"",OFFSET('Smelter Look-up'!$D$4,$V11-4,0)&amp;"")</f>
        <v>UNITED STATES OF AMERICA</v>
      </c>
      <c r="F11" s="182" t="str">
        <f ca="1">IF(ISERROR($V11),"",OFFSET('Smelter Look-up'!$E$4,$V11-4,0))</f>
        <v>CID001157</v>
      </c>
      <c r="G11" s="182" t="str">
        <f ca="1">IF(C11=$X$4,IF(ISERROR($V11),"Enter smelter details","RMI"),IF(ISERROR($V11),"",OFFSET('Smelter Look-up'!$F$4,$V11-4,0)))</f>
        <v>RMI</v>
      </c>
      <c r="H11" s="183">
        <f ca="1">IF(ISERROR($V11),"",OFFSET('Smelter Look-up'!$G$4,$V11-4,0))</f>
        <v>0</v>
      </c>
      <c r="I11" s="184" t="str">
        <f ca="1">IF(ISERROR($V11),"",OFFSET('Smelter Look-up'!$H$4,$V11-4,0))</f>
        <v>North Attleboro</v>
      </c>
      <c r="J11" s="184" t="str">
        <f ca="1">IF(ISERROR($V11),"",OFFSET('Smelter Look-up'!$I$4,$V11-4,0))</f>
        <v>Massachusetts</v>
      </c>
      <c r="K11" s="224"/>
      <c r="L11" s="224"/>
      <c r="M11" s="224"/>
      <c r="N11" s="224"/>
      <c r="O11" s="224"/>
      <c r="P11" s="185"/>
      <c r="Q11" s="225"/>
      <c r="R11" s="182" t="str">
        <f ca="1">IF(ISERROR($V11),"",OFFSET('Smelter Look-up'!$C$4,$V11-4,0)&amp;"")</f>
        <v>Metalor USA Refining Corporation</v>
      </c>
      <c r="S11" s="181" t="str">
        <f t="shared" ca="1" si="3"/>
        <v>US</v>
      </c>
      <c r="T11" s="181" t="str">
        <f ca="1">IF(B11="","",IF(ISERROR(MATCH($J11,SorP!$B$1:$B$6279,0)),"",INDIRECT("'SorP'!$A$"&amp;MATCH($S11&amp;$J11,SorP!C:C,0))))</f>
        <v>US-MA</v>
      </c>
      <c r="U11" s="201"/>
      <c r="V11" s="226">
        <f ca="1">IF(C11="",NA(),IF(OR(C11="Smelter not listed",C11="Smelter not yet identified"),MATCH($B11&amp;$D11,'Smelter Look-up'!$J:$J,0),MATCH($B11&amp;$C11,'Smelter Look-up'!$J:$J,0)))</f>
        <v>176</v>
      </c>
      <c r="X11" s="227">
        <f t="shared" ca="1" si="4"/>
        <v>0</v>
      </c>
      <c r="AB11" s="228" t="str">
        <f t="shared" ca="1" si="5"/>
        <v>GoldMetalor USA Refining Corporation</v>
      </c>
    </row>
    <row r="12" spans="1:34" s="227" customFormat="1" ht="19.899999999999999" customHeight="1">
      <c r="A12" s="262" t="s">
        <v>781</v>
      </c>
      <c r="B12" s="182" t="str">
        <f ca="1">IF(LEN(A12)=0,"",INDEX('Smelter Look-up'!$A:$A,MATCH($A12,'Smelter Look-up'!$E:$E,0)))</f>
        <v>Tin</v>
      </c>
      <c r="C12" s="186" t="str">
        <f ca="1">IF(LEN(A12)=0,"",INDEX('Smelter Look-up'!$C:$C,MATCH($A12,'Smelter Look-up'!$E:$E,0)))</f>
        <v>PT Timah Tbk Mentok</v>
      </c>
      <c r="D12" s="230"/>
      <c r="E12" s="182" t="str">
        <f ca="1">IF(ISERROR($V12),"",OFFSET('Smelter Look-up'!$D$4,$V12-4,0)&amp;"")</f>
        <v>INDONESIA</v>
      </c>
      <c r="F12" s="182" t="str">
        <f ca="1">IF(ISERROR($V12),"",OFFSET('Smelter Look-up'!$E$4,$V12-4,0))</f>
        <v>CID001482</v>
      </c>
      <c r="G12" s="182" t="str">
        <f ca="1">IF(C12=$X$4,IF(ISERROR($V12),"Enter smelter details","RMI"),IF(ISERROR($V12),"",OFFSET('Smelter Look-up'!$F$4,$V12-4,0)))</f>
        <v>RMI</v>
      </c>
      <c r="H12" s="183">
        <f ca="1">IF(ISERROR($V12),"",OFFSET('Smelter Look-up'!$G$4,$V12-4,0))</f>
        <v>0</v>
      </c>
      <c r="I12" s="184" t="str">
        <f ca="1">IF(ISERROR($V12),"",OFFSET('Smelter Look-up'!$H$4,$V12-4,0))</f>
        <v>Mentok</v>
      </c>
      <c r="J12" s="184" t="str">
        <f ca="1">IF(ISERROR($V12),"",OFFSET('Smelter Look-up'!$I$4,$V12-4,0))</f>
        <v>Kepulauan Bangka Belitung</v>
      </c>
      <c r="K12" s="224"/>
      <c r="L12" s="224"/>
      <c r="M12" s="224"/>
      <c r="N12" s="224"/>
      <c r="O12" s="224"/>
      <c r="P12" s="185"/>
      <c r="Q12" s="225"/>
      <c r="R12" s="182" t="str">
        <f ca="1">IF(ISERROR($V12),"",OFFSET('Smelter Look-up'!$C$4,$V12-4,0)&amp;"")</f>
        <v>PT Timah Tbk Mentok</v>
      </c>
      <c r="S12" s="181" t="str">
        <f t="shared" ca="1" si="3"/>
        <v>ID</v>
      </c>
      <c r="T12" s="181" t="str">
        <f ca="1">IF(B12="","",IF(ISERROR(MATCH($J12,SorP!$B$1:$B$6279,0)),"",INDIRECT("'SorP'!$A$"&amp;MATCH($S12&amp;$J12,SorP!C:C,0))))</f>
        <v>ID-BB</v>
      </c>
      <c r="U12" s="201"/>
      <c r="V12" s="226">
        <f ca="1">IF(C12="",NA(),IF(OR(C12="Smelter not listed",C12="Smelter not yet identified"),MATCH($B12&amp;$D12,'Smelter Look-up'!$J:$J,0),MATCH($B12&amp;$C12,'Smelter Look-up'!$J:$J,0)))</f>
        <v>514</v>
      </c>
      <c r="X12" s="227">
        <f t="shared" ca="1" si="4"/>
        <v>0</v>
      </c>
      <c r="AB12" s="228" t="str">
        <f t="shared" ca="1" si="5"/>
        <v>TinPT Timah Tbk Mentok</v>
      </c>
    </row>
    <row r="13" spans="1:34" s="227" customFormat="1" ht="19.899999999999999" customHeight="1">
      <c r="A13" s="262" t="s">
        <v>788</v>
      </c>
      <c r="B13" s="182" t="str">
        <f ca="1">IF(LEN(A13)=0,"",INDEX('Smelter Look-up'!$A:$A,MATCH($A13,'Smelter Look-up'!$E:$E,0)))</f>
        <v>Tungsten</v>
      </c>
      <c r="C13" s="186" t="str">
        <f ca="1">IF(LEN(A13)=0,"",INDEX('Smelter Look-up'!$C:$C,MATCH($A13,'Smelter Look-up'!$E:$E,0)))</f>
        <v>A.L.M.T. Corp.</v>
      </c>
      <c r="D13" s="230"/>
      <c r="E13" s="182" t="str">
        <f ca="1">IF(ISERROR($V13),"",OFFSET('Smelter Look-up'!$D$4,$V13-4,0)&amp;"")</f>
        <v>JAPAN</v>
      </c>
      <c r="F13" s="182" t="str">
        <f ca="1">IF(ISERROR($V13),"",OFFSET('Smelter Look-up'!$E$4,$V13-4,0))</f>
        <v>CID000004</v>
      </c>
      <c r="G13" s="182" t="str">
        <f ca="1">IF(C13=$X$4,IF(ISERROR($V13),"Enter smelter details","RMI"),IF(ISERROR($V13),"",OFFSET('Smelter Look-up'!$F$4,$V13-4,0)))</f>
        <v>RMI</v>
      </c>
      <c r="H13" s="183">
        <f ca="1">IF(ISERROR($V13),"",OFFSET('Smelter Look-up'!$G$4,$V13-4,0))</f>
        <v>0</v>
      </c>
      <c r="I13" s="184" t="str">
        <f ca="1">IF(ISERROR($V13),"",OFFSET('Smelter Look-up'!$H$4,$V13-4,0))</f>
        <v>Toyama City</v>
      </c>
      <c r="J13" s="184" t="str">
        <f ca="1">IF(ISERROR($V13),"",OFFSET('Smelter Look-up'!$I$4,$V13-4,0))</f>
        <v>Toyama</v>
      </c>
      <c r="K13" s="224"/>
      <c r="L13" s="224"/>
      <c r="M13" s="224"/>
      <c r="N13" s="224"/>
      <c r="O13" s="224"/>
      <c r="P13" s="185"/>
      <c r="Q13" s="225"/>
      <c r="R13" s="182" t="str">
        <f ca="1">IF(ISERROR($V13),"",OFFSET('Smelter Look-up'!$C$4,$V13-4,0)&amp;"")</f>
        <v>A.L.M.T. Corp.</v>
      </c>
      <c r="S13" s="181" t="str">
        <f t="shared" ca="1" si="3"/>
        <v>JP</v>
      </c>
      <c r="T13" s="181" t="str">
        <f ca="1">IF(B13="","",IF(ISERROR(MATCH($J13,SorP!$B$1:$B$6279,0)),"",INDIRECT("'SorP'!$A$"&amp;MATCH($S13&amp;$J13,SorP!C:C,0))))</f>
        <v>JP-16</v>
      </c>
      <c r="U13" s="201"/>
      <c r="V13" s="226">
        <f ca="1">IF(C13="",NA(),IF(OR(C13="Smelter not listed",C13="Smelter not yet identified"),MATCH($B13&amp;$D13,'Smelter Look-up'!$J:$J,0),MATCH($B13&amp;$C13,'Smelter Look-up'!$J:$J,0)))</f>
        <v>557</v>
      </c>
      <c r="X13" s="227">
        <f t="shared" ca="1" si="4"/>
        <v>0</v>
      </c>
      <c r="AB13" s="228" t="str">
        <f t="shared" ca="1" si="5"/>
        <v>TungstenA.L.M.T. Corp.</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643EEC8-70B0-4611-A527-B2CFE55B5E97}"/>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sqref="A1:C1"/>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INGUN Prüfmittelbau GmbH</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Christian Renner</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christian.renner@de.ingun.com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+49 7531 8105 310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Christian Renner</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christian.renner@de.ingun.com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45407</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50%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50%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50%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No</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51">
      <c r="A60" s="89" t="str">
        <f ca="1">Declaration!B85</f>
        <v>F. Do you review due diligence information received from your suppliers against your company’s expectations? (*)</v>
      </c>
      <c r="B60" s="89" t="str">
        <f>Declaration!D85</f>
        <v>No</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sqref="A1:D1"/>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sqref="A1:G1"/>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56.2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Christian Renner</cp:lastModifiedBy>
  <cp:lastPrinted>2015-04-21T20:47:43Z</cp:lastPrinted>
  <dcterms:created xsi:type="dcterms:W3CDTF">2010-06-21T21:00:23Z</dcterms:created>
  <dcterms:modified xsi:type="dcterms:W3CDTF">2024-04-25T14:38:38Z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